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0 PROJECTES PAL.LAS\AJ2022142 ALBERG LLEIDA\3 PBE MODIFICAT FCB\0 PBE\2 DOCS\"/>
    </mc:Choice>
  </mc:AlternateContent>
  <xr:revisionPtr revIDLastSave="0" documentId="13_ncr:1_{1387BE0F-B249-42B2-9FEC-AA3101AB9FA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nstruides" sheetId="3" r:id="rId1"/>
    <sheet name="Quadre útil resum" sheetId="2" r:id="rId2"/>
    <sheet name="Quadre d’àrees de projecte  " sheetId="1" r:id="rId3"/>
    <sheet name="Àrees i ocupació DBSI" sheetId="5" r:id="rId4"/>
    <sheet name="CTE DBSI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3" l="1"/>
  <c r="D33" i="3"/>
  <c r="C22" i="3"/>
  <c r="D22" i="3"/>
  <c r="E26" i="3"/>
  <c r="E22" i="3" s="1"/>
  <c r="E15" i="3"/>
  <c r="E13" i="3" s="1"/>
  <c r="C16" i="3"/>
  <c r="D16" i="3" s="1"/>
  <c r="B23" i="3"/>
  <c r="B22" i="3" s="1"/>
  <c r="B15" i="3"/>
  <c r="D7" i="3"/>
  <c r="D6" i="3"/>
  <c r="B9" i="3"/>
  <c r="B8" i="3"/>
  <c r="B6" i="3"/>
  <c r="B7" i="3"/>
  <c r="F10" i="4" s="1"/>
  <c r="C9" i="3"/>
  <c r="E9" i="3" s="1"/>
  <c r="E5" i="3" s="1"/>
  <c r="C8" i="3"/>
  <c r="C15" i="3" s="1"/>
  <c r="E10" i="5"/>
  <c r="C10" i="5"/>
  <c r="F22" i="3" l="1"/>
  <c r="B28" i="3" s="1"/>
  <c r="C14" i="3"/>
  <c r="C13" i="3" s="1"/>
  <c r="B5" i="3"/>
  <c r="B14" i="3"/>
  <c r="B13" i="3" s="1"/>
  <c r="D9" i="3"/>
  <c r="C5" i="3"/>
  <c r="D8" i="3"/>
  <c r="J8" i="1"/>
  <c r="I8" i="1"/>
  <c r="J7" i="1"/>
  <c r="I7" i="1"/>
  <c r="G8" i="2"/>
  <c r="G7" i="2"/>
  <c r="G30" i="2" s="1"/>
  <c r="D7" i="2"/>
  <c r="C7" i="2"/>
  <c r="C8" i="2"/>
  <c r="D11" i="2"/>
  <c r="C11" i="2"/>
  <c r="D12" i="2"/>
  <c r="C12" i="2"/>
  <c r="D5" i="3" l="1"/>
  <c r="D15" i="3"/>
  <c r="D14" i="3"/>
  <c r="D30" i="2"/>
  <c r="G29" i="2"/>
  <c r="D29" i="2"/>
  <c r="E16" i="5"/>
  <c r="C16" i="5"/>
  <c r="D16" i="5"/>
  <c r="G20" i="5"/>
  <c r="D20" i="5"/>
  <c r="G19" i="5"/>
  <c r="D19" i="5"/>
  <c r="G18" i="5"/>
  <c r="D18" i="5"/>
  <c r="G13" i="5"/>
  <c r="G14" i="5"/>
  <c r="G15" i="5"/>
  <c r="G16" i="5"/>
  <c r="G17" i="5"/>
  <c r="D13" i="5"/>
  <c r="D14" i="5"/>
  <c r="D15" i="5"/>
  <c r="D17" i="5"/>
  <c r="G12" i="5"/>
  <c r="D12" i="5"/>
  <c r="D11" i="5"/>
  <c r="G10" i="5"/>
  <c r="G11" i="5"/>
  <c r="G9" i="5"/>
  <c r="D9" i="5"/>
  <c r="E6" i="5"/>
  <c r="E7" i="5"/>
  <c r="E8" i="5"/>
  <c r="D8" i="5"/>
  <c r="D6" i="5"/>
  <c r="D7" i="5"/>
  <c r="G6" i="5"/>
  <c r="G7" i="5"/>
  <c r="G8" i="5"/>
  <c r="D5" i="5"/>
  <c r="G5" i="5"/>
  <c r="AD6" i="5"/>
  <c r="AE6" i="5" s="1"/>
  <c r="AD5" i="5"/>
  <c r="AE5" i="5" s="1"/>
  <c r="D13" i="3" l="1"/>
  <c r="F13" i="3" s="1"/>
  <c r="F7" i="5"/>
  <c r="H7" i="5" s="1"/>
  <c r="J7" i="5" s="1"/>
  <c r="K7" i="5" s="1"/>
  <c r="F8" i="5"/>
  <c r="H8" i="5" s="1"/>
  <c r="J8" i="5" s="1"/>
  <c r="K8" i="5" s="1"/>
  <c r="F6" i="5"/>
  <c r="H6" i="5" s="1"/>
  <c r="K6" i="5" s="1"/>
  <c r="AE7" i="5"/>
  <c r="D30" i="4" s="1"/>
  <c r="S5" i="5"/>
  <c r="T5" i="5" s="1"/>
  <c r="V9" i="5"/>
  <c r="W9" i="5" s="1"/>
  <c r="S9" i="5"/>
  <c r="T9" i="5" s="1"/>
  <c r="V8" i="5"/>
  <c r="W8" i="5" s="1"/>
  <c r="S8" i="5"/>
  <c r="T8" i="5" s="1"/>
  <c r="V7" i="5"/>
  <c r="W7" i="5" s="1"/>
  <c r="V6" i="5"/>
  <c r="W6" i="5" s="1"/>
  <c r="S6" i="5"/>
  <c r="T6" i="5" s="1"/>
  <c r="V5" i="5"/>
  <c r="W5" i="5" s="1"/>
  <c r="E20" i="5"/>
  <c r="F20" i="5" s="1"/>
  <c r="H20" i="5" s="1"/>
  <c r="C20" i="5"/>
  <c r="E19" i="5"/>
  <c r="F19" i="5" s="1"/>
  <c r="H19" i="5" s="1"/>
  <c r="N19" i="5" s="1"/>
  <c r="C19" i="5"/>
  <c r="E18" i="5"/>
  <c r="F18" i="5" s="1"/>
  <c r="H18" i="5" s="1"/>
  <c r="N18" i="5" s="1"/>
  <c r="C18" i="5"/>
  <c r="E17" i="5"/>
  <c r="F17" i="5" s="1"/>
  <c r="H17" i="5" s="1"/>
  <c r="L17" i="5" s="1"/>
  <c r="C17" i="5"/>
  <c r="R9" i="5"/>
  <c r="F16" i="5"/>
  <c r="H16" i="5" s="1"/>
  <c r="L16" i="5" s="1"/>
  <c r="E15" i="5"/>
  <c r="F15" i="5" s="1"/>
  <c r="H15" i="5" s="1"/>
  <c r="L15" i="5" s="1"/>
  <c r="C15" i="5"/>
  <c r="E14" i="5"/>
  <c r="F14" i="5" s="1"/>
  <c r="H14" i="5" s="1"/>
  <c r="L14" i="5" s="1"/>
  <c r="C14" i="5"/>
  <c r="E13" i="5"/>
  <c r="F13" i="5" s="1"/>
  <c r="H13" i="5" s="1"/>
  <c r="J13" i="5" s="1"/>
  <c r="C13" i="5"/>
  <c r="E12" i="5"/>
  <c r="F12" i="5" s="1"/>
  <c r="H12" i="5" s="1"/>
  <c r="J12" i="5" s="1"/>
  <c r="C12" i="5"/>
  <c r="R8" i="5"/>
  <c r="R7" i="5"/>
  <c r="E11" i="5"/>
  <c r="F11" i="5" s="1"/>
  <c r="H11" i="5" s="1"/>
  <c r="J11" i="5" s="1"/>
  <c r="C11" i="5"/>
  <c r="R6" i="5"/>
  <c r="E9" i="5"/>
  <c r="F9" i="5" s="1"/>
  <c r="H9" i="5" s="1"/>
  <c r="J9" i="5" s="1"/>
  <c r="K9" i="5" s="1"/>
  <c r="C9" i="5"/>
  <c r="C8" i="5"/>
  <c r="AK5" i="5"/>
  <c r="AJ5" i="5"/>
  <c r="R5" i="5"/>
  <c r="C7" i="5"/>
  <c r="C6" i="5"/>
  <c r="E5" i="5"/>
  <c r="F5" i="5" s="1"/>
  <c r="H5" i="5" s="1"/>
  <c r="J5" i="5" s="1"/>
  <c r="C5" i="5"/>
  <c r="H43" i="4"/>
  <c r="G40" i="4"/>
  <c r="G46" i="4" s="1"/>
  <c r="G39" i="4"/>
  <c r="J38" i="4"/>
  <c r="H38" i="4"/>
  <c r="H39" i="4" s="1"/>
  <c r="G44" i="4"/>
  <c r="C39" i="1"/>
  <c r="E39" i="1" s="1"/>
  <c r="N39" i="1" s="1"/>
  <c r="N49" i="1" s="1"/>
  <c r="B18" i="2" s="1"/>
  <c r="E35" i="1"/>
  <c r="L35" i="1" s="1"/>
  <c r="F45" i="1"/>
  <c r="F46" i="1"/>
  <c r="F47" i="1"/>
  <c r="F48" i="1"/>
  <c r="E23" i="1"/>
  <c r="K23" i="1" s="1"/>
  <c r="C11" i="1"/>
  <c r="I11" i="1" s="1"/>
  <c r="J11" i="1" s="1"/>
  <c r="E9" i="1"/>
  <c r="I9" i="1" s="1"/>
  <c r="J9" i="1" s="1"/>
  <c r="E10" i="1"/>
  <c r="I10" i="1" s="1"/>
  <c r="J10" i="1" s="1"/>
  <c r="E12" i="1"/>
  <c r="I12" i="1" s="1"/>
  <c r="J12" i="1" s="1"/>
  <c r="E13" i="1"/>
  <c r="I13" i="1" s="1"/>
  <c r="E14" i="1"/>
  <c r="J14" i="1" s="1"/>
  <c r="E15" i="1"/>
  <c r="I15" i="1" s="1"/>
  <c r="E16" i="1"/>
  <c r="J16" i="1" s="1"/>
  <c r="E17" i="1"/>
  <c r="K17" i="1" s="1"/>
  <c r="E18" i="1"/>
  <c r="K18" i="1" s="1"/>
  <c r="E19" i="1"/>
  <c r="J19" i="1" s="1"/>
  <c r="E20" i="1"/>
  <c r="K20" i="1" s="1"/>
  <c r="E21" i="1"/>
  <c r="K21" i="1" s="1"/>
  <c r="E22" i="1"/>
  <c r="K22" i="1" s="1"/>
  <c r="E24" i="1"/>
  <c r="M24" i="1" s="1"/>
  <c r="E25" i="1"/>
  <c r="M25" i="1" s="1"/>
  <c r="E26" i="1"/>
  <c r="M26" i="1" s="1"/>
  <c r="E27" i="1"/>
  <c r="M27" i="1" s="1"/>
  <c r="E28" i="1"/>
  <c r="M28" i="1" s="1"/>
  <c r="E29" i="1"/>
  <c r="M29" i="1" s="1"/>
  <c r="E30" i="1"/>
  <c r="M30" i="1" s="1"/>
  <c r="E31" i="1"/>
  <c r="M31" i="1" s="1"/>
  <c r="E32" i="1"/>
  <c r="M32" i="1" s="1"/>
  <c r="E33" i="1"/>
  <c r="M33" i="1" s="1"/>
  <c r="E34" i="1"/>
  <c r="E36" i="1"/>
  <c r="L36" i="1" s="1"/>
  <c r="E37" i="1"/>
  <c r="L37" i="1" s="1"/>
  <c r="E38" i="1"/>
  <c r="L38" i="1" s="1"/>
  <c r="E40" i="1"/>
  <c r="N40" i="1" s="1"/>
  <c r="E41" i="1"/>
  <c r="N41" i="1" s="1"/>
  <c r="E42" i="1"/>
  <c r="N42" i="1" s="1"/>
  <c r="E43" i="1"/>
  <c r="N43" i="1" s="1"/>
  <c r="E44" i="1"/>
  <c r="N44" i="1" s="1"/>
  <c r="E8" i="1"/>
  <c r="E7" i="1"/>
  <c r="E6" i="1"/>
  <c r="J6" i="1" s="1"/>
  <c r="E5" i="1"/>
  <c r="I5" i="1" s="1"/>
  <c r="AI7" i="1"/>
  <c r="AI8" i="1"/>
  <c r="I17" i="2" s="1"/>
  <c r="AI6" i="1"/>
  <c r="AF5" i="1"/>
  <c r="AH5" i="1" s="1"/>
  <c r="I5" i="2" s="1"/>
  <c r="AB16" i="1"/>
  <c r="AB15" i="1"/>
  <c r="AB14" i="1"/>
  <c r="AB13" i="1"/>
  <c r="AA9" i="1"/>
  <c r="H18" i="2" s="1"/>
  <c r="Y17" i="1"/>
  <c r="AB17" i="1" s="1"/>
  <c r="Y12" i="1"/>
  <c r="Y11" i="1"/>
  <c r="AA11" i="1" s="1"/>
  <c r="Y10" i="1"/>
  <c r="AA10" i="1" s="1"/>
  <c r="Y8" i="1"/>
  <c r="Y7" i="1"/>
  <c r="AA7" i="1" s="1"/>
  <c r="Y6" i="1"/>
  <c r="AA6" i="1" s="1"/>
  <c r="Y5" i="1"/>
  <c r="AA5" i="1" s="1"/>
  <c r="U24" i="1"/>
  <c r="R12" i="1"/>
  <c r="C9" i="2" s="1"/>
  <c r="T8" i="1"/>
  <c r="T6" i="1"/>
  <c r="T7" i="1"/>
  <c r="T9" i="1"/>
  <c r="T10" i="1"/>
  <c r="T11" i="1"/>
  <c r="T13" i="1"/>
  <c r="T14" i="1"/>
  <c r="T15" i="1"/>
  <c r="T16" i="1"/>
  <c r="T17" i="1"/>
  <c r="T18" i="1"/>
  <c r="T19" i="1"/>
  <c r="U20" i="1"/>
  <c r="E6" i="2" s="1"/>
  <c r="U21" i="1"/>
  <c r="U22" i="1"/>
  <c r="U23" i="1"/>
  <c r="T5" i="1"/>
  <c r="E5" i="2" s="1"/>
  <c r="M49" i="1" l="1"/>
  <c r="B15" i="2" s="1"/>
  <c r="L49" i="1"/>
  <c r="B16" i="2" s="1"/>
  <c r="H6" i="2"/>
  <c r="J6" i="2" s="1"/>
  <c r="I49" i="1"/>
  <c r="B21" i="2" s="1"/>
  <c r="I6" i="2"/>
  <c r="J49" i="1"/>
  <c r="B22" i="2" s="1"/>
  <c r="B5" i="2"/>
  <c r="H34" i="1"/>
  <c r="H49" i="1" s="1"/>
  <c r="K49" i="1"/>
  <c r="B23" i="2" s="1"/>
  <c r="G41" i="4"/>
  <c r="F20" i="4" s="1"/>
  <c r="K38" i="4"/>
  <c r="I27" i="2"/>
  <c r="I26" i="2" s="1"/>
  <c r="H45" i="4"/>
  <c r="H40" i="4"/>
  <c r="H46" i="4" s="1"/>
  <c r="K46" i="4" s="1"/>
  <c r="H44" i="4"/>
  <c r="K39" i="4"/>
  <c r="K37" i="4"/>
  <c r="T12" i="1"/>
  <c r="E9" i="2"/>
  <c r="AA12" i="1"/>
  <c r="AA6" i="5"/>
  <c r="AB6" i="5" s="1"/>
  <c r="E11" i="1"/>
  <c r="D10" i="5"/>
  <c r="F10" i="5" s="1"/>
  <c r="H10" i="5" s="1"/>
  <c r="J10" i="5" s="1"/>
  <c r="K10" i="5" s="1"/>
  <c r="K21" i="5" s="1"/>
  <c r="D25" i="4" s="1"/>
  <c r="E52" i="4" s="1"/>
  <c r="AI9" i="1"/>
  <c r="AI5" i="5"/>
  <c r="AL5" i="5" s="1"/>
  <c r="AL6" i="5" s="1"/>
  <c r="D31" i="4" s="1"/>
  <c r="E66" i="4" s="1"/>
  <c r="H66" i="4" s="1"/>
  <c r="S7" i="5"/>
  <c r="T7" i="5" s="1"/>
  <c r="AA8" i="1"/>
  <c r="AA18" i="1" s="1"/>
  <c r="AA5" i="5"/>
  <c r="AB5" i="5" s="1"/>
  <c r="F49" i="1"/>
  <c r="B4" i="2"/>
  <c r="L21" i="5"/>
  <c r="M20" i="5"/>
  <c r="N21" i="5" s="1"/>
  <c r="W10" i="5"/>
  <c r="D29" i="4" s="1"/>
  <c r="AH9" i="1"/>
  <c r="U25" i="1"/>
  <c r="G43" i="4"/>
  <c r="G45" i="4"/>
  <c r="K45" i="4" s="1"/>
  <c r="K40" i="4"/>
  <c r="E49" i="1"/>
  <c r="C49" i="1" s="1"/>
  <c r="AB18" i="1"/>
  <c r="T25" i="1"/>
  <c r="D28" i="4" l="1"/>
  <c r="E55" i="4" s="1"/>
  <c r="G55" i="4" s="1"/>
  <c r="H55" i="4" s="1"/>
  <c r="F9" i="4"/>
  <c r="AF9" i="1"/>
  <c r="O49" i="1"/>
  <c r="K44" i="4"/>
  <c r="J4" i="2"/>
  <c r="J9" i="2"/>
  <c r="I40" i="4"/>
  <c r="I46" i="4" s="1"/>
  <c r="H21" i="5"/>
  <c r="J21" i="5"/>
  <c r="D24" i="4" s="1"/>
  <c r="E51" i="4" s="1"/>
  <c r="G51" i="4" s="1"/>
  <c r="H51" i="4" s="1"/>
  <c r="M21" i="5"/>
  <c r="D27" i="4" s="1"/>
  <c r="E54" i="4" s="1"/>
  <c r="G54" i="4" s="1"/>
  <c r="H54" i="4" s="1"/>
  <c r="D26" i="4"/>
  <c r="E53" i="4" s="1"/>
  <c r="G53" i="4" s="1"/>
  <c r="H53" i="4" s="1"/>
  <c r="R25" i="1"/>
  <c r="K43" i="4"/>
  <c r="G47" i="4"/>
  <c r="Y18" i="1"/>
  <c r="O21" i="5" l="1"/>
  <c r="G52" i="4"/>
  <c r="H52" i="4" s="1"/>
  <c r="D23" i="4"/>
  <c r="D32" i="3"/>
  <c r="D31" i="3"/>
  <c r="I25" i="2" l="1"/>
  <c r="H27" i="2"/>
  <c r="H5" i="2"/>
  <c r="E12" i="2"/>
  <c r="J12" i="2" s="1"/>
  <c r="E11" i="2"/>
  <c r="J11" i="2" s="1"/>
  <c r="F8" i="2"/>
  <c r="H8" i="2" s="1"/>
  <c r="F7" i="2"/>
  <c r="H7" i="2" s="1"/>
  <c r="B27" i="2"/>
  <c r="B26" i="2" s="1"/>
  <c r="J18" i="2"/>
  <c r="J16" i="2"/>
  <c r="J17" i="2"/>
  <c r="J5" i="2" l="1"/>
  <c r="H26" i="2"/>
  <c r="J30" i="2"/>
  <c r="J29" i="2"/>
  <c r="J23" i="2"/>
  <c r="J21" i="2"/>
  <c r="F5" i="3"/>
  <c r="E27" i="2"/>
  <c r="J27" i="2" s="1"/>
  <c r="C10" i="2"/>
  <c r="E8" i="2"/>
  <c r="J8" i="2" s="1"/>
  <c r="E7" i="2"/>
  <c r="J22" i="2"/>
  <c r="J15" i="2"/>
  <c r="J19" i="2" s="1"/>
  <c r="B18" i="3" l="1"/>
  <c r="F5" i="4"/>
  <c r="J7" i="2"/>
  <c r="E10" i="2"/>
  <c r="J10" i="2" s="1"/>
  <c r="J24" i="2"/>
  <c r="B25" i="2"/>
  <c r="H25" i="2"/>
  <c r="E26" i="2" l="1"/>
  <c r="J26" i="2" s="1"/>
  <c r="J25" i="2" s="1"/>
  <c r="J13" i="2"/>
  <c r="I39" i="4"/>
  <c r="I45" i="4" s="1"/>
  <c r="I38" i="4"/>
  <c r="E25" i="2" l="1"/>
  <c r="I41" i="4"/>
  <c r="L37" i="4" s="1"/>
  <c r="I44" i="4"/>
  <c r="I47" i="4" s="1"/>
  <c r="L43" i="4" s="1"/>
  <c r="D32" i="4"/>
  <c r="E56" i="4" l="1"/>
  <c r="G56" i="4" s="1"/>
  <c r="H56" i="4" s="1"/>
  <c r="E57" i="4"/>
  <c r="G57" i="4" s="1"/>
  <c r="H57" i="4" s="1"/>
  <c r="E58" i="4"/>
  <c r="G58" i="4" s="1"/>
  <c r="H58" i="4" s="1"/>
  <c r="E64" i="4"/>
  <c r="G64" i="4" s="1"/>
  <c r="H64" i="4" s="1"/>
</calcChain>
</file>

<file path=xl/sharedStrings.xml><?xml version="1.0" encoding="utf-8"?>
<sst xmlns="http://schemas.openxmlformats.org/spreadsheetml/2006/main" count="738" uniqueCount="339">
  <si>
    <t/>
  </si>
  <si>
    <t>0.A.1</t>
  </si>
  <si>
    <t>0.A.2</t>
  </si>
  <si>
    <t>0.A.3</t>
  </si>
  <si>
    <t>0.A.4</t>
  </si>
  <si>
    <t>0.B.1</t>
  </si>
  <si>
    <t>0.B.2</t>
  </si>
  <si>
    <t>Office</t>
  </si>
  <si>
    <t>0.B.3</t>
  </si>
  <si>
    <t>0.B.4</t>
  </si>
  <si>
    <t>0.B.5</t>
  </si>
  <si>
    <t>0.B.6</t>
  </si>
  <si>
    <t>0.B.7</t>
  </si>
  <si>
    <t>0.C.2</t>
  </si>
  <si>
    <t>0.C.3</t>
  </si>
  <si>
    <t>0.C.4</t>
  </si>
  <si>
    <t>0.C.5</t>
  </si>
  <si>
    <t>0.C.6</t>
  </si>
  <si>
    <t>0.D.2</t>
  </si>
  <si>
    <t>Restaurant</t>
  </si>
  <si>
    <t>2.A.1</t>
  </si>
  <si>
    <t>2.A.2</t>
  </si>
  <si>
    <t>2.A.3</t>
  </si>
  <si>
    <t>2.B.1</t>
  </si>
  <si>
    <t>2.C.1</t>
  </si>
  <si>
    <t>2.C.2</t>
  </si>
  <si>
    <t>2.D.1</t>
  </si>
  <si>
    <t>2.D.2</t>
  </si>
  <si>
    <t>Zona residencial</t>
  </si>
  <si>
    <t>Planta Baixa</t>
  </si>
  <si>
    <t>Accés</t>
  </si>
  <si>
    <t>Tipologia dos lliteres</t>
  </si>
  <si>
    <t>Tipologia quatre llits</t>
  </si>
  <si>
    <t>Tipologia dos llits</t>
  </si>
  <si>
    <t>Tipologia accesible</t>
  </si>
  <si>
    <t>Serveis comuns de l’edifici</t>
  </si>
  <si>
    <t>Espai bar-restaurant</t>
  </si>
  <si>
    <t>Sala polivalent</t>
  </si>
  <si>
    <t>Green rooftop o Azotea Verde</t>
  </si>
  <si>
    <t>Zona técnica</t>
  </si>
  <si>
    <t>Espais de Serveis Socials</t>
  </si>
  <si>
    <t xml:space="preserve">Espai de consigna amb taquilles individuals </t>
  </si>
  <si>
    <t>Àrea</t>
  </si>
  <si>
    <t>Total</t>
  </si>
  <si>
    <t>Unitats</t>
  </si>
  <si>
    <t>Planta Primera</t>
  </si>
  <si>
    <t>Planta Segona</t>
  </si>
  <si>
    <t>Planta Coberta</t>
  </si>
  <si>
    <t>Totals</t>
  </si>
  <si>
    <t>Serveis comuns</t>
  </si>
  <si>
    <t>Serveis Socials</t>
  </si>
  <si>
    <t>Superficies útils interiors</t>
  </si>
  <si>
    <t>Superficies útils exteriors</t>
  </si>
  <si>
    <t>Magatxem</t>
  </si>
  <si>
    <t>Espais privatius distribució</t>
  </si>
  <si>
    <t>Superficies útils</t>
  </si>
  <si>
    <t>Nombre de llits</t>
  </si>
  <si>
    <t>Nombre d'habitacions</t>
  </si>
  <si>
    <t>Parcel·la ocupada</t>
  </si>
  <si>
    <t>Parcel·la</t>
  </si>
  <si>
    <t>PB</t>
  </si>
  <si>
    <t>Urbanisme</t>
  </si>
  <si>
    <t>Ocupació</t>
  </si>
  <si>
    <t>espai d’oficines d’atenció i de treball</t>
  </si>
  <si>
    <t>Planta 1</t>
  </si>
  <si>
    <t>Planta 2</t>
  </si>
  <si>
    <t>Planta coberta</t>
  </si>
  <si>
    <t>Codi</t>
  </si>
  <si>
    <t>Nom</t>
  </si>
  <si>
    <t>Ús</t>
  </si>
  <si>
    <t>Ocupants</t>
  </si>
  <si>
    <t>Distribució</t>
  </si>
  <si>
    <t>1.C.0</t>
  </si>
  <si>
    <t>Escala</t>
  </si>
  <si>
    <t>Rebedor</t>
  </si>
  <si>
    <t>3.C.0</t>
  </si>
  <si>
    <t>1.C.1</t>
  </si>
  <si>
    <t>Lavabo</t>
  </si>
  <si>
    <t>3.D.1</t>
  </si>
  <si>
    <t>Recepció</t>
  </si>
  <si>
    <t>1.C.2</t>
  </si>
  <si>
    <t>Menjador</t>
  </si>
  <si>
    <t>3.D.2</t>
  </si>
  <si>
    <t>Lavabo-visitants</t>
  </si>
  <si>
    <t>1.C.3</t>
  </si>
  <si>
    <t>2.A.4</t>
  </si>
  <si>
    <t>Habitació</t>
  </si>
  <si>
    <t>3.D.3</t>
  </si>
  <si>
    <t>Terrasa</t>
  </si>
  <si>
    <t>0.A.5</t>
  </si>
  <si>
    <t>Sala d’assistència</t>
  </si>
  <si>
    <t>1.C.4</t>
  </si>
  <si>
    <t>0.A.6</t>
  </si>
  <si>
    <t>1.C.5</t>
  </si>
  <si>
    <t>2.C.0</t>
  </si>
  <si>
    <t>0.A.7</t>
  </si>
  <si>
    <t>Oficina</t>
  </si>
  <si>
    <t>1.C.6</t>
  </si>
  <si>
    <t>0.A.8</t>
  </si>
  <si>
    <t>1.C.7</t>
  </si>
  <si>
    <t>0.A.9</t>
  </si>
  <si>
    <t>1.C.8</t>
  </si>
  <si>
    <t>0.A.10</t>
  </si>
  <si>
    <t>1.C.9</t>
  </si>
  <si>
    <t>0.A.11</t>
  </si>
  <si>
    <t>Cuina</t>
  </si>
  <si>
    <t>1.C.10</t>
  </si>
  <si>
    <t>2.D.3</t>
  </si>
  <si>
    <t>0.A.12</t>
  </si>
  <si>
    <t>Arxiu</t>
  </si>
  <si>
    <t>1.C.11</t>
  </si>
  <si>
    <t>0.A.13</t>
  </si>
  <si>
    <t>1.C.12</t>
  </si>
  <si>
    <t>0.A.14</t>
  </si>
  <si>
    <t>Bugaderia</t>
  </si>
  <si>
    <t>1.C.13</t>
  </si>
  <si>
    <t>Sala de guàrdia</t>
  </si>
  <si>
    <t>1.C.14</t>
  </si>
  <si>
    <t>0.A.15</t>
  </si>
  <si>
    <t>Vestidors</t>
  </si>
  <si>
    <t>1.D.1</t>
  </si>
  <si>
    <t>0.A.16</t>
  </si>
  <si>
    <t>1.D.2</t>
  </si>
  <si>
    <t>0.A.17</t>
  </si>
  <si>
    <t>1.D.3</t>
  </si>
  <si>
    <t>0.A.18</t>
  </si>
  <si>
    <t>1.D.4</t>
  </si>
  <si>
    <t>Residus</t>
  </si>
  <si>
    <t>Lavabo treballadors</t>
  </si>
  <si>
    <t>Emmagatzematge</t>
  </si>
  <si>
    <t>0.B.8</t>
  </si>
  <si>
    <t>0.B.9</t>
  </si>
  <si>
    <t>0.B.10</t>
  </si>
  <si>
    <t>Lavabo accesible</t>
  </si>
  <si>
    <t>Zona comu</t>
  </si>
  <si>
    <t>0.C.7</t>
  </si>
  <si>
    <t>0.C.8</t>
  </si>
  <si>
    <t>0.C.9</t>
  </si>
  <si>
    <t>instal·lacions</t>
  </si>
  <si>
    <t>0.C.10</t>
  </si>
  <si>
    <t>0.C.11</t>
  </si>
  <si>
    <t>0.C.12</t>
  </si>
  <si>
    <t>1.D.5</t>
  </si>
  <si>
    <t>Balcó</t>
  </si>
  <si>
    <t>Espais</t>
  </si>
  <si>
    <t>A. Exterior</t>
  </si>
  <si>
    <t>A. Interior</t>
  </si>
  <si>
    <t>Un.</t>
  </si>
  <si>
    <t>2.D.4</t>
  </si>
  <si>
    <t>2.D.5</t>
  </si>
  <si>
    <t xml:space="preserve"> Balcó</t>
  </si>
  <si>
    <t>Magatzem</t>
  </si>
  <si>
    <t>Terrasa públic</t>
  </si>
  <si>
    <t>Lavabo - treballadors acces.</t>
  </si>
  <si>
    <t>0.D.3</t>
  </si>
  <si>
    <t>0.D.4</t>
  </si>
  <si>
    <t>Pati</t>
  </si>
  <si>
    <t>SECTORS D'INCENDI I ESCALES PROTEGIDES</t>
  </si>
  <si>
    <t>Códi sala</t>
  </si>
  <si>
    <t>Planta</t>
  </si>
  <si>
    <t>Us previst</t>
  </si>
  <si>
    <t>Sup. Cons*</t>
  </si>
  <si>
    <t>Risc</t>
  </si>
  <si>
    <t>Resistencia al foc</t>
  </si>
  <si>
    <t>Portes</t>
  </si>
  <si>
    <t>Revestimients</t>
  </si>
  <si>
    <t>Ocults no estancs</t>
  </si>
  <si>
    <t>Sort. Planta</t>
  </si>
  <si>
    <t>Estructura</t>
  </si>
  <si>
    <t>Paret/forjat</t>
  </si>
  <si>
    <t>Sostre/paret</t>
  </si>
  <si>
    <t>Terres</t>
  </si>
  <si>
    <t>SECTOR 01</t>
  </si>
  <si>
    <t>PB/P1/P2/PC</t>
  </si>
  <si>
    <t>RESIDENCIAL PÚBLIC</t>
  </si>
  <si>
    <t>≥R 60</t>
  </si>
  <si>
    <t>≥EI 60</t>
  </si>
  <si>
    <r>
      <t>EI</t>
    </r>
    <r>
      <rPr>
        <b/>
        <vertAlign val="subscript"/>
        <sz val="8"/>
        <color theme="1"/>
        <rFont val="Swis721 Lt BT"/>
        <family val="2"/>
      </rPr>
      <t>2</t>
    </r>
    <r>
      <rPr>
        <b/>
        <sz val="8"/>
        <color theme="1"/>
        <rFont val="Swis721 Lt BT"/>
        <family val="2"/>
      </rPr>
      <t xml:space="preserve"> 30-C5 </t>
    </r>
  </si>
  <si>
    <t>C-s2,d0</t>
  </si>
  <si>
    <r>
      <t>E</t>
    </r>
    <r>
      <rPr>
        <b/>
        <vertAlign val="subscript"/>
        <sz val="8"/>
        <color theme="1"/>
        <rFont val="Swis721 Lt BT"/>
        <family val="2"/>
      </rPr>
      <t>FL</t>
    </r>
  </si>
  <si>
    <t>B-s3,d0</t>
  </si>
  <si>
    <r>
      <t>B</t>
    </r>
    <r>
      <rPr>
        <b/>
        <vertAlign val="subscript"/>
        <sz val="8"/>
        <color theme="1"/>
        <rFont val="Swis721 Lt BT"/>
        <family val="2"/>
      </rPr>
      <t>FL</t>
    </r>
    <r>
      <rPr>
        <b/>
        <sz val="8"/>
        <color theme="1"/>
        <rFont val="Swis721 Lt BT"/>
        <family val="2"/>
      </rPr>
      <t>-s2</t>
    </r>
  </si>
  <si>
    <t>&lt; 25m*1 sort. / &lt;35*2 sort.</t>
  </si>
  <si>
    <t>P1/P2</t>
  </si>
  <si>
    <t>Allotjaments</t>
  </si>
  <si>
    <t>-</t>
  </si>
  <si>
    <t>*DBSI 1 1.2 La superfície d'un sector d'incendi no computa: locals de risc especial, escales i passadissos protegits, vestíbuls d'independència i escales compartimentades que estiguin continguts en aquest sector.</t>
  </si>
  <si>
    <t>LOCALS DE RISC ESPECIAL</t>
  </si>
  <si>
    <t>LRE 01</t>
  </si>
  <si>
    <t>Magatzem de residus</t>
  </si>
  <si>
    <t>BAIX</t>
  </si>
  <si>
    <t>&gt; R 90</t>
  </si>
  <si>
    <t>&gt;EI 90</t>
  </si>
  <si>
    <r>
      <t>EI</t>
    </r>
    <r>
      <rPr>
        <vertAlign val="subscript"/>
        <sz val="8"/>
        <color theme="1"/>
        <rFont val="Swis721 Lt BT"/>
        <family val="2"/>
      </rPr>
      <t>2</t>
    </r>
    <r>
      <rPr>
        <sz val="8"/>
        <color theme="1"/>
        <rFont val="Swis721 Lt BT"/>
        <family val="2"/>
      </rPr>
      <t xml:space="preserve"> 45-C5 </t>
    </r>
  </si>
  <si>
    <t>B-s1,d0</t>
  </si>
  <si>
    <r>
      <t>B</t>
    </r>
    <r>
      <rPr>
        <vertAlign val="subscript"/>
        <sz val="8"/>
        <color theme="1"/>
        <rFont val="Swis721 Lt BT"/>
        <family val="2"/>
      </rPr>
      <t>FL</t>
    </r>
    <r>
      <rPr>
        <sz val="8"/>
        <color theme="1"/>
        <rFont val="Swis721 Lt BT"/>
        <family val="2"/>
      </rPr>
      <t>-s1</t>
    </r>
  </si>
  <si>
    <r>
      <t>B</t>
    </r>
    <r>
      <rPr>
        <vertAlign val="subscript"/>
        <sz val="8"/>
        <color theme="1"/>
        <rFont val="Swis721 Lt BT"/>
        <family val="2"/>
      </rPr>
      <t>FL</t>
    </r>
    <r>
      <rPr>
        <sz val="8"/>
        <color theme="1"/>
        <rFont val="Swis721 Lt BT"/>
        <family val="2"/>
      </rPr>
      <t>-s2</t>
    </r>
  </si>
  <si>
    <t>&lt; 25m</t>
  </si>
  <si>
    <t>LRE 02</t>
  </si>
  <si>
    <t>LRE 03</t>
  </si>
  <si>
    <t>Locales grupo electrógeno</t>
  </si>
  <si>
    <t>LRE 04</t>
  </si>
  <si>
    <t>Sala de màquines</t>
  </si>
  <si>
    <t>LRE 05</t>
  </si>
  <si>
    <t>Cuadros generales eléctricos</t>
  </si>
  <si>
    <t>ESCALES PROTEGIDES</t>
  </si>
  <si>
    <t>Ventilació</t>
  </si>
  <si>
    <t>Escala 1 i 2</t>
  </si>
  <si>
    <t>&gt;R 120</t>
  </si>
  <si>
    <t>&gt;EI 120</t>
  </si>
  <si>
    <r>
      <t>EI</t>
    </r>
    <r>
      <rPr>
        <vertAlign val="subscript"/>
        <sz val="8"/>
        <color theme="1"/>
        <rFont val="Swis721 Lt BT"/>
        <family val="2"/>
      </rPr>
      <t>2</t>
    </r>
    <r>
      <rPr>
        <sz val="8"/>
        <color theme="1"/>
        <rFont val="Swis721 Lt BT"/>
        <family val="2"/>
      </rPr>
      <t xml:space="preserve"> 60-C5 </t>
    </r>
  </si>
  <si>
    <r>
      <t>C</t>
    </r>
    <r>
      <rPr>
        <vertAlign val="subscript"/>
        <sz val="8"/>
        <color theme="1"/>
        <rFont val="Swis721 Lt BT"/>
        <family val="2"/>
      </rPr>
      <t>FL</t>
    </r>
    <r>
      <rPr>
        <sz val="8"/>
        <color theme="1"/>
        <rFont val="Swis721 Lt BT"/>
        <family val="2"/>
      </rPr>
      <t xml:space="preserve">-s1 </t>
    </r>
  </si>
  <si>
    <t>Natural 1m2/planta</t>
  </si>
  <si>
    <t>Cálcul Ocupació</t>
  </si>
  <si>
    <t>PLANTA BAIXA</t>
  </si>
  <si>
    <t>S. Socials oficines 1</t>
  </si>
  <si>
    <t>S. Socials oficines 2</t>
  </si>
  <si>
    <t>S. Socials bugaderia</t>
  </si>
  <si>
    <t>Resi. Púb. zones comuns</t>
  </si>
  <si>
    <t>Bar-restaurant</t>
  </si>
  <si>
    <t>PLANTA SEGONA</t>
  </si>
  <si>
    <t>PLANTA COBERTA</t>
  </si>
  <si>
    <t>Dimensionat escales</t>
  </si>
  <si>
    <t>Tipología</t>
  </si>
  <si>
    <t>Tram / planta</t>
  </si>
  <si>
    <t>Vestíbul indep.</t>
  </si>
  <si>
    <t>Superfície (m2)</t>
  </si>
  <si>
    <t>Amplada projecte (m)</t>
  </si>
  <si>
    <t>Càl. pers. a evacuar (segons recor.)</t>
  </si>
  <si>
    <t>Capacitat segons taula 4.2</t>
  </si>
  <si>
    <t>Capacitat pers. a evacuar 1 (formula 4.1) P=3S+160A</t>
  </si>
  <si>
    <t>Evaquació</t>
  </si>
  <si>
    <t>ESCALA 1</t>
  </si>
  <si>
    <t>Sortida</t>
  </si>
  <si>
    <t>Protegida</t>
  </si>
  <si>
    <t>Sortida / PB</t>
  </si>
  <si>
    <t>NO</t>
  </si>
  <si>
    <t>Tram 1</t>
  </si>
  <si>
    <t>Tram 1 / P1</t>
  </si>
  <si>
    <t>Tram 2</t>
  </si>
  <si>
    <t>Tram 2 / P2</t>
  </si>
  <si>
    <t>Tram 3</t>
  </si>
  <si>
    <t>Tram 3 / PC</t>
  </si>
  <si>
    <t>ESCALA 2</t>
  </si>
  <si>
    <t>Dimensionat mitjans evacuació</t>
  </si>
  <si>
    <t>Element evacuació</t>
  </si>
  <si>
    <t>Càl. pers. evacuar (segons recorreguts)</t>
  </si>
  <si>
    <t>Portes / Sortides</t>
  </si>
  <si>
    <t>Càl.segons hipò. bloqueig</t>
  </si>
  <si>
    <r>
      <t>Amp. Mín. cal. si &gt;</t>
    </r>
    <r>
      <rPr>
        <b/>
        <sz val="8"/>
        <color theme="1"/>
        <rFont val="Swis721 Lt BT"/>
        <family val="2"/>
      </rPr>
      <t xml:space="preserve"> 0,80m*</t>
    </r>
  </si>
  <si>
    <t>Amplada Projecte (m)</t>
  </si>
  <si>
    <t>Tipus</t>
  </si>
  <si>
    <t>Barra antipànic (&gt;50p no fam.)</t>
  </si>
  <si>
    <t>Sentit apertura  (&gt;100p plannta / 50p recinte)</t>
  </si>
  <si>
    <t>Mecanisme tancament automàtic</t>
  </si>
  <si>
    <t>*NOTA</t>
  </si>
  <si>
    <t>Porta sortida Est</t>
  </si>
  <si>
    <t>SI</t>
  </si>
  <si>
    <t>Evacuar zona comú 100% a callejuela</t>
  </si>
  <si>
    <t>Porta sortida Central</t>
  </si>
  <si>
    <t>Només una porta amb push i sentit apertura</t>
  </si>
  <si>
    <t>Porta sortida Oest</t>
  </si>
  <si>
    <t>Revisar barres push i portes EI en general</t>
  </si>
  <si>
    <t>Portes de sortida</t>
  </si>
  <si>
    <t>Porta sortida</t>
  </si>
  <si>
    <t>Resi. Púb. Escales Protegides</t>
  </si>
  <si>
    <t>Jardí interior</t>
  </si>
  <si>
    <t>Porta de sortia Est</t>
  </si>
  <si>
    <t>Porta de sortida Oest</t>
  </si>
  <si>
    <t>Local Risc Especial</t>
  </si>
  <si>
    <t>Planta Primera / Segona</t>
  </si>
  <si>
    <t>Allotjament habitació - cuina</t>
  </si>
  <si>
    <t xml:space="preserve">Porta </t>
  </si>
  <si>
    <r>
      <t>EI</t>
    </r>
    <r>
      <rPr>
        <vertAlign val="subscript"/>
        <sz val="8"/>
        <color theme="1"/>
        <rFont val="Swis721 Lt BT"/>
        <family val="2"/>
      </rPr>
      <t>2</t>
    </r>
    <r>
      <rPr>
        <sz val="8"/>
        <color theme="1"/>
        <rFont val="Swis721 Lt BT"/>
        <family val="2"/>
      </rPr>
      <t xml:space="preserve"> 30-C5 </t>
    </r>
  </si>
  <si>
    <t>Galería</t>
  </si>
  <si>
    <t>Porta - Finestra a gale.</t>
  </si>
  <si>
    <t>Escales protegides</t>
  </si>
  <si>
    <t>Porta</t>
  </si>
  <si>
    <t>Sobre coberta</t>
  </si>
  <si>
    <t>Trampilla</t>
  </si>
  <si>
    <t>* L'ample de les portes de PB de les escales protegides serà de al menys el 80% del ample de l'escala = 0,8*1,1 = 0,88</t>
  </si>
  <si>
    <t>Zon. ocasionals</t>
  </si>
  <si>
    <t>Residencial público</t>
  </si>
  <si>
    <t>Zon. allotjament</t>
  </si>
  <si>
    <t>Ús múltiple</t>
  </si>
  <si>
    <t>Zon. ús públic PB</t>
  </si>
  <si>
    <t>Administrativo</t>
  </si>
  <si>
    <t>Zon. d'oficina</t>
  </si>
  <si>
    <t>Zon. ús públic</t>
  </si>
  <si>
    <t>Públia concurrencia</t>
  </si>
  <si>
    <t>Assegut bars</t>
  </si>
  <si>
    <t>Arees internes</t>
  </si>
  <si>
    <t>Ocup./un.</t>
  </si>
  <si>
    <t>Zon. allotjament llits*</t>
  </si>
  <si>
    <t>*segons ocupació real donada per nombre de llits</t>
  </si>
  <si>
    <t>PLANTA PRIMERA</t>
  </si>
  <si>
    <t>Bar</t>
  </si>
  <si>
    <t>Oficines 2</t>
  </si>
  <si>
    <t>Oficines 1</t>
  </si>
  <si>
    <t>Comuns</t>
  </si>
  <si>
    <t>Tipologia dos llits amb office</t>
  </si>
  <si>
    <t>Pati d'accés</t>
  </si>
  <si>
    <t>Tècnica</t>
  </si>
  <si>
    <t>Residencial</t>
  </si>
  <si>
    <t>AVANTPROJECTE</t>
  </si>
  <si>
    <t>QUADRE RESUM</t>
  </si>
  <si>
    <t>SUPERFÍCIES ÚTILS</t>
  </si>
  <si>
    <t>SUPERFÍCIES CONSTRUIDES</t>
  </si>
  <si>
    <t>Oficina segons taules</t>
  </si>
  <si>
    <t>Volum sud</t>
  </si>
  <si>
    <t>Volum nord</t>
  </si>
  <si>
    <t>Calaixos</t>
  </si>
  <si>
    <t>Escales</t>
  </si>
  <si>
    <t>Balcons</t>
  </si>
  <si>
    <t>Ajardinament i plaça sud</t>
  </si>
  <si>
    <t>Entorn nord</t>
  </si>
  <si>
    <t>Pati central</t>
  </si>
  <si>
    <t>Urbanitzades i enjardinades</t>
  </si>
  <si>
    <t>* Computable a efectes d'urbanisme i de protecció davant del foc segons CTE DBSI</t>
  </si>
  <si>
    <t>SUPERFÍCIES I OCUPACIÓ SEGONS CTE DBSI</t>
  </si>
  <si>
    <t>VERIFICACIÓ DE LA NO EXISTENCIA DE SECTORS ADICIONALS</t>
  </si>
  <si>
    <t>ZONA BAR</t>
  </si>
  <si>
    <t>ZONA SERVEIS SOCIALS</t>
  </si>
  <si>
    <t>Pública concurrencia</t>
  </si>
  <si>
    <t>Administratiu</t>
  </si>
  <si>
    <t>ok!</t>
  </si>
  <si>
    <t>&lt;100 persones</t>
  </si>
  <si>
    <t>&lt;500m2</t>
  </si>
  <si>
    <t>Àrea o persones</t>
  </si>
  <si>
    <t>Passera / coberta sud</t>
  </si>
  <si>
    <t>Passera /coberta nord</t>
  </si>
  <si>
    <t>Coberta</t>
  </si>
  <si>
    <t>* Superfícies exteriors construides transitable pels usuaris</t>
  </si>
  <si>
    <t>Construida exterior*</t>
  </si>
  <si>
    <t>Construida interior*</t>
  </si>
  <si>
    <t>Construida total</t>
  </si>
  <si>
    <t>Superfície urbanitzada total</t>
  </si>
  <si>
    <t>Ocupació projecte</t>
  </si>
  <si>
    <t>Detall PB segons úsos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</si>
</sst>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0"/>
      <name val="Arial"/>
    </font>
    <font>
      <sz val="10"/>
      <name val="Swis721 Lt BT"/>
      <family val="2"/>
    </font>
    <font>
      <b/>
      <sz val="10"/>
      <name val="Swis721 Lt BT"/>
      <family val="2"/>
    </font>
    <font>
      <b/>
      <i/>
      <sz val="10"/>
      <name val="Swis721 Lt BT"/>
      <family val="2"/>
    </font>
    <font>
      <b/>
      <sz val="8"/>
      <color indexed="8"/>
      <name val="Swis721 Lt BT"/>
      <family val="2"/>
    </font>
    <font>
      <sz val="8"/>
      <name val="Swis721 Lt BT"/>
      <family val="2"/>
    </font>
    <font>
      <b/>
      <sz val="8"/>
      <name val="Swis721 Lt BT"/>
      <family val="2"/>
    </font>
    <font>
      <i/>
      <sz val="8"/>
      <name val="Swis721 Lt BT"/>
      <family val="2"/>
    </font>
    <font>
      <b/>
      <i/>
      <sz val="8"/>
      <name val="Swis721 Lt BT"/>
      <family val="2"/>
    </font>
    <font>
      <b/>
      <u/>
      <sz val="8"/>
      <name val="Swis721 Lt BT"/>
      <family val="2"/>
    </font>
    <font>
      <sz val="8"/>
      <color indexed="8"/>
      <name val="Swis721 Lt BT"/>
      <family val="2"/>
    </font>
    <font>
      <i/>
      <sz val="8"/>
      <color rgb="FFC00000"/>
      <name val="Swis721 Lt BT"/>
      <family val="2"/>
    </font>
    <font>
      <sz val="8"/>
      <color rgb="FFC00000"/>
      <name val="Swis721 Lt BT"/>
      <family val="2"/>
    </font>
    <font>
      <i/>
      <sz val="8"/>
      <color rgb="FF000000"/>
      <name val="Swis721 Lt BT"/>
      <family val="2"/>
    </font>
    <font>
      <b/>
      <sz val="8"/>
      <color theme="2" tint="-0.499984740745262"/>
      <name val="Swis721 Lt BT"/>
      <family val="2"/>
    </font>
    <font>
      <sz val="8"/>
      <color theme="2" tint="-0.499984740745262"/>
      <name val="Swis721 Lt BT"/>
      <family val="2"/>
    </font>
    <font>
      <b/>
      <sz val="8"/>
      <color rgb="FFC00000"/>
      <name val="Swis721 Lt BT"/>
      <family val="2"/>
    </font>
    <font>
      <i/>
      <sz val="8"/>
      <color theme="2" tint="-0.499984740745262"/>
      <name val="Swis721 Lt BT"/>
      <family val="2"/>
    </font>
    <font>
      <b/>
      <sz val="10"/>
      <color theme="1"/>
      <name val="Swis721 Lt BT"/>
      <family val="2"/>
    </font>
    <font>
      <b/>
      <sz val="8"/>
      <color rgb="FF00B050"/>
      <name val="Swis721 Lt BT"/>
      <family val="2"/>
    </font>
    <font>
      <sz val="8"/>
      <color theme="1"/>
      <name val="Swis721 Lt BT"/>
      <family val="2"/>
    </font>
    <font>
      <b/>
      <sz val="8"/>
      <color theme="1"/>
      <name val="Swis721 Lt BT"/>
      <family val="2"/>
    </font>
    <font>
      <b/>
      <vertAlign val="subscript"/>
      <sz val="8"/>
      <color theme="1"/>
      <name val="Swis721 Lt BT"/>
      <family val="2"/>
    </font>
    <font>
      <b/>
      <sz val="8"/>
      <color rgb="FF000000"/>
      <name val="Swis721 Lt BT"/>
      <family val="2"/>
    </font>
    <font>
      <i/>
      <sz val="8"/>
      <color theme="1"/>
      <name val="Swis721 Lt BT"/>
      <family val="2"/>
    </font>
    <font>
      <vertAlign val="subscript"/>
      <sz val="8"/>
      <color theme="1"/>
      <name val="Swis721 Lt BT"/>
      <family val="2"/>
    </font>
    <font>
      <strike/>
      <sz val="8"/>
      <color theme="0" tint="-0.34998626667073579"/>
      <name val="Swis721 Lt BT"/>
      <family val="2"/>
    </font>
    <font>
      <b/>
      <sz val="8"/>
      <color rgb="FFFF0000"/>
      <name val="Swis721 Lt BT"/>
      <family val="2"/>
    </font>
    <font>
      <b/>
      <i/>
      <sz val="6"/>
      <name val="Swis721 Lt BT"/>
      <family val="2"/>
    </font>
    <font>
      <i/>
      <sz val="6"/>
      <name val="Swis721 Lt BT"/>
      <family val="2"/>
    </font>
    <font>
      <i/>
      <sz val="6"/>
      <color theme="2" tint="-0.499984740745262"/>
      <name val="Swis721 Lt BT"/>
      <family val="2"/>
    </font>
    <font>
      <b/>
      <i/>
      <u/>
      <sz val="6"/>
      <name val="Swis721 Lt BT"/>
      <family val="2"/>
    </font>
    <font>
      <i/>
      <sz val="6"/>
      <color rgb="FFC00000"/>
      <name val="Swis721 Lt BT"/>
      <family val="2"/>
    </font>
    <font>
      <i/>
      <sz val="6"/>
      <color rgb="FF000000"/>
      <name val="Swis721 Lt BT"/>
      <family val="2"/>
    </font>
    <font>
      <i/>
      <sz val="6"/>
      <color theme="1"/>
      <name val="Swis721 Lt BT"/>
      <family val="2"/>
    </font>
    <font>
      <b/>
      <i/>
      <sz val="6"/>
      <color theme="2" tint="-0.499984740745262"/>
      <name val="Swis721 Lt BT"/>
      <family val="2"/>
    </font>
    <font>
      <b/>
      <i/>
      <sz val="6"/>
      <color rgb="FFC00000"/>
      <name val="Swis721 Lt BT"/>
      <family val="2"/>
    </font>
    <font>
      <b/>
      <i/>
      <sz val="6"/>
      <color rgb="FF00B050"/>
      <name val="Swis721 Lt BT"/>
      <family val="2"/>
    </font>
    <font>
      <i/>
      <sz val="10"/>
      <name val="Swis721 Lt BT"/>
      <family val="2"/>
    </font>
    <font>
      <b/>
      <i/>
      <sz val="8"/>
      <color indexed="8"/>
      <name val="Swis721 Lt BT"/>
      <family val="2"/>
    </font>
    <font>
      <i/>
      <sz val="8"/>
      <color indexed="8"/>
      <name val="Swis721 Lt BT"/>
      <family val="2"/>
    </font>
    <font>
      <b/>
      <i/>
      <sz val="8"/>
      <color theme="1"/>
      <name val="Swis721 Lt BT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5" fillId="0" borderId="3" xfId="0" applyFont="1" applyBorder="1"/>
    <xf numFmtId="0" fontId="7" fillId="0" borderId="3" xfId="0" applyFont="1" applyBorder="1"/>
    <xf numFmtId="0" fontId="9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12" fillId="0" borderId="0" xfId="0" applyFont="1"/>
    <xf numFmtId="0" fontId="8" fillId="0" borderId="0" xfId="0" applyFont="1" applyAlignment="1">
      <alignment horizontal="right"/>
    </xf>
    <xf numFmtId="0" fontId="1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7" fillId="0" borderId="3" xfId="0" applyFont="1" applyBorder="1" applyAlignment="1">
      <alignment horizontal="justify" vertical="center"/>
    </xf>
    <xf numFmtId="0" fontId="6" fillId="0" borderId="0" xfId="0" applyFont="1" applyAlignment="1">
      <alignment wrapText="1"/>
    </xf>
    <xf numFmtId="0" fontId="11" fillId="0" borderId="0" xfId="0" applyFont="1" applyAlignment="1"/>
    <xf numFmtId="0" fontId="9" fillId="0" borderId="0" xfId="0" applyFont="1"/>
    <xf numFmtId="0" fontId="17" fillId="0" borderId="3" xfId="0" applyFont="1" applyBorder="1"/>
    <xf numFmtId="0" fontId="15" fillId="0" borderId="0" xfId="0" applyFont="1"/>
    <xf numFmtId="0" fontId="15" fillId="0" borderId="3" xfId="0" applyFont="1" applyBorder="1"/>
    <xf numFmtId="0" fontId="5" fillId="0" borderId="0" xfId="0" applyFont="1" applyBorder="1"/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14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19" fillId="0" borderId="0" xfId="0" applyFont="1"/>
    <xf numFmtId="0" fontId="20" fillId="0" borderId="0" xfId="0" applyFont="1" applyBorder="1" applyAlignment="1">
      <alignment horizontal="right"/>
    </xf>
    <xf numFmtId="0" fontId="20" fillId="0" borderId="0" xfId="0" applyFont="1" applyBorder="1"/>
    <xf numFmtId="0" fontId="20" fillId="0" borderId="0" xfId="0" applyFont="1" applyBorder="1" applyAlignment="1">
      <alignment wrapText="1"/>
    </xf>
    <xf numFmtId="0" fontId="20" fillId="0" borderId="0" xfId="0" applyFont="1"/>
    <xf numFmtId="0" fontId="21" fillId="0" borderId="3" xfId="0" applyFont="1" applyBorder="1" applyAlignment="1">
      <alignment horizontal="left"/>
    </xf>
    <xf numFmtId="0" fontId="21" fillId="0" borderId="3" xfId="0" applyFont="1" applyBorder="1"/>
    <xf numFmtId="0" fontId="20" fillId="0" borderId="3" xfId="0" applyFont="1" applyBorder="1"/>
    <xf numFmtId="0" fontId="20" fillId="0" borderId="3" xfId="0" applyFont="1" applyBorder="1" applyAlignment="1">
      <alignment wrapText="1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0" fillId="0" borderId="3" xfId="0" applyFont="1" applyBorder="1" applyAlignment="1">
      <alignment horizontal="right"/>
    </xf>
    <xf numFmtId="0" fontId="20" fillId="0" borderId="3" xfId="0" applyFont="1" applyBorder="1" applyAlignment="1">
      <alignment horizont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/>
    <xf numFmtId="0" fontId="21" fillId="0" borderId="3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3" xfId="0" applyFont="1" applyBorder="1" applyAlignment="1"/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wrapText="1"/>
    </xf>
    <xf numFmtId="0" fontId="23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1" fontId="20" fillId="0" borderId="0" xfId="0" applyNumberFormat="1" applyFont="1" applyAlignment="1">
      <alignment horizontal="center" vertical="center" wrapText="1"/>
    </xf>
    <xf numFmtId="1" fontId="20" fillId="0" borderId="0" xfId="0" applyNumberFormat="1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/>
    </xf>
    <xf numFmtId="1" fontId="20" fillId="0" borderId="3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2" fontId="20" fillId="0" borderId="3" xfId="0" applyNumberFormat="1" applyFont="1" applyBorder="1" applyAlignment="1">
      <alignment horizont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5" xfId="0" applyFont="1" applyBorder="1"/>
    <xf numFmtId="1" fontId="20" fillId="0" borderId="5" xfId="0" applyNumberFormat="1" applyFont="1" applyBorder="1" applyAlignment="1">
      <alignment horizontal="center"/>
    </xf>
    <xf numFmtId="1" fontId="20" fillId="0" borderId="0" xfId="0" applyNumberFormat="1" applyFont="1" applyBorder="1" applyAlignment="1">
      <alignment horizontal="center" wrapText="1"/>
    </xf>
    <xf numFmtId="0" fontId="21" fillId="0" borderId="0" xfId="0" applyFont="1" applyBorder="1"/>
    <xf numFmtId="1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vertical="center"/>
    </xf>
    <xf numFmtId="1" fontId="20" fillId="0" borderId="3" xfId="0" applyNumberFormat="1" applyFont="1" applyBorder="1" applyAlignment="1">
      <alignment horizontal="center"/>
    </xf>
    <xf numFmtId="0" fontId="21" fillId="0" borderId="3" xfId="0" applyFont="1" applyBorder="1" applyAlignment="1">
      <alignment horizontal="right"/>
    </xf>
    <xf numFmtId="0" fontId="21" fillId="0" borderId="0" xfId="0" applyFont="1"/>
    <xf numFmtId="1" fontId="21" fillId="0" borderId="0" xfId="0" applyNumberFormat="1" applyFont="1" applyAlignment="1">
      <alignment horizontal="center"/>
    </xf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>
      <alignment horizontal="center" wrapText="1"/>
    </xf>
    <xf numFmtId="1" fontId="21" fillId="0" borderId="0" xfId="0" applyNumberFormat="1" applyFont="1" applyBorder="1" applyAlignment="1">
      <alignment horizontal="center"/>
    </xf>
    <xf numFmtId="1" fontId="20" fillId="0" borderId="0" xfId="0" applyNumberFormat="1" applyFont="1" applyBorder="1"/>
    <xf numFmtId="0" fontId="20" fillId="0" borderId="3" xfId="0" applyFont="1" applyBorder="1" applyAlignment="1">
      <alignment horizontal="center" vertical="top"/>
    </xf>
    <xf numFmtId="0" fontId="20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3" xfId="0" applyFont="1" applyBorder="1" applyAlignment="1">
      <alignment vertical="top" wrapText="1"/>
    </xf>
    <xf numFmtId="0" fontId="5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2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2" fontId="7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2" fontId="24" fillId="0" borderId="0" xfId="0" applyNumberFormat="1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1" fontId="5" fillId="0" borderId="0" xfId="0" applyNumberFormat="1" applyFont="1" applyAlignment="1">
      <alignment horizontal="center" wrapText="1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left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1" fontId="5" fillId="0" borderId="0" xfId="0" applyNumberFormat="1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left" wrapText="1"/>
    </xf>
    <xf numFmtId="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2" fontId="6" fillId="0" borderId="3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2" fontId="27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1" fontId="5" fillId="0" borderId="0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2" fontId="5" fillId="0" borderId="0" xfId="0" applyNumberFormat="1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wrapText="1"/>
    </xf>
    <xf numFmtId="1" fontId="5" fillId="0" borderId="3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20" fillId="0" borderId="0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2" fontId="15" fillId="0" borderId="3" xfId="0" applyNumberFormat="1" applyFont="1" applyBorder="1"/>
    <xf numFmtId="2" fontId="15" fillId="0" borderId="0" xfId="0" applyNumberFormat="1" applyFont="1"/>
    <xf numFmtId="0" fontId="5" fillId="0" borderId="3" xfId="0" applyFont="1" applyBorder="1" applyAlignment="1">
      <alignment vertical="center"/>
    </xf>
    <xf numFmtId="0" fontId="7" fillId="0" borderId="0" xfId="0" applyFont="1"/>
    <xf numFmtId="0" fontId="17" fillId="0" borderId="0" xfId="0" applyFont="1"/>
    <xf numFmtId="2" fontId="17" fillId="0" borderId="0" xfId="0" applyNumberFormat="1" applyFont="1"/>
    <xf numFmtId="0" fontId="7" fillId="0" borderId="0" xfId="0" applyFont="1" applyBorder="1"/>
    <xf numFmtId="2" fontId="12" fillId="0" borderId="0" xfId="0" applyNumberFormat="1" applyFont="1"/>
    <xf numFmtId="2" fontId="5" fillId="0" borderId="0" xfId="0" applyNumberFormat="1" applyFont="1"/>
    <xf numFmtId="2" fontId="5" fillId="0" borderId="3" xfId="0" applyNumberFormat="1" applyFont="1" applyBorder="1"/>
    <xf numFmtId="0" fontId="9" fillId="0" borderId="0" xfId="0" applyFont="1" applyBorder="1"/>
    <xf numFmtId="2" fontId="5" fillId="0" borderId="0" xfId="0" applyNumberFormat="1" applyFont="1" applyBorder="1"/>
    <xf numFmtId="2" fontId="7" fillId="0" borderId="0" xfId="0" applyNumberFormat="1" applyFont="1" applyBorder="1"/>
    <xf numFmtId="0" fontId="8" fillId="0" borderId="3" xfId="0" applyFont="1" applyBorder="1"/>
    <xf numFmtId="0" fontId="6" fillId="0" borderId="0" xfId="0" applyFont="1" applyAlignment="1">
      <alignment vertical="top"/>
    </xf>
    <xf numFmtId="2" fontId="16" fillId="0" borderId="0" xfId="0" applyNumberFormat="1" applyFont="1" applyBorder="1"/>
    <xf numFmtId="0" fontId="6" fillId="2" borderId="0" xfId="0" applyFont="1" applyFill="1" applyAlignment="1">
      <alignment vertical="top"/>
    </xf>
    <xf numFmtId="0" fontId="28" fillId="2" borderId="0" xfId="0" applyFont="1" applyFill="1" applyAlignment="1">
      <alignment wrapText="1"/>
    </xf>
    <xf numFmtId="0" fontId="28" fillId="2" borderId="0" xfId="0" applyFont="1" applyFill="1"/>
    <xf numFmtId="0" fontId="29" fillId="2" borderId="0" xfId="0" applyFont="1" applyFill="1"/>
    <xf numFmtId="0" fontId="29" fillId="2" borderId="3" xfId="0" applyFont="1" applyFill="1" applyBorder="1"/>
    <xf numFmtId="0" fontId="30" fillId="2" borderId="3" xfId="0" applyFont="1" applyFill="1" applyBorder="1"/>
    <xf numFmtId="0" fontId="31" fillId="2" borderId="0" xfId="0" applyFont="1" applyFill="1" applyAlignment="1">
      <alignment horizontal="justify" vertical="center"/>
    </xf>
    <xf numFmtId="0" fontId="30" fillId="2" borderId="0" xfId="0" applyFont="1" applyFill="1"/>
    <xf numFmtId="0" fontId="32" fillId="2" borderId="0" xfId="0" applyFont="1" applyFill="1"/>
    <xf numFmtId="2" fontId="32" fillId="2" borderId="0" xfId="0" applyNumberFormat="1" applyFont="1" applyFill="1"/>
    <xf numFmtId="0" fontId="29" fillId="2" borderId="0" xfId="0" applyFont="1" applyFill="1" applyAlignment="1">
      <alignment vertical="center"/>
    </xf>
    <xf numFmtId="2" fontId="29" fillId="2" borderId="0" xfId="0" applyNumberFormat="1" applyFont="1" applyFill="1"/>
    <xf numFmtId="2" fontId="30" fillId="2" borderId="0" xfId="0" applyNumberFormat="1" applyFont="1" applyFill="1"/>
    <xf numFmtId="0" fontId="29" fillId="2" borderId="0" xfId="0" applyFont="1" applyFill="1" applyBorder="1"/>
    <xf numFmtId="0" fontId="29" fillId="2" borderId="3" xfId="0" applyFont="1" applyFill="1" applyBorder="1" applyAlignment="1">
      <alignment vertical="center"/>
    </xf>
    <xf numFmtId="2" fontId="30" fillId="2" borderId="3" xfId="0" applyNumberFormat="1" applyFont="1" applyFill="1" applyBorder="1"/>
    <xf numFmtId="0" fontId="28" fillId="2" borderId="0" xfId="0" applyFont="1" applyFill="1" applyAlignment="1">
      <alignment horizontal="right"/>
    </xf>
    <xf numFmtId="0" fontId="31" fillId="2" borderId="0" xfId="0" applyFont="1" applyFill="1"/>
    <xf numFmtId="0" fontId="33" fillId="2" borderId="0" xfId="0" applyFont="1" applyFill="1" applyAlignment="1">
      <alignment horizontal="justify" vertical="center"/>
    </xf>
    <xf numFmtId="0" fontId="29" fillId="2" borderId="0" xfId="0" applyFont="1" applyFill="1" applyAlignment="1">
      <alignment horizontal="justify" vertical="center"/>
    </xf>
    <xf numFmtId="0" fontId="32" fillId="2" borderId="0" xfId="0" applyFont="1" applyFill="1" applyAlignment="1"/>
    <xf numFmtId="0" fontId="29" fillId="2" borderId="3" xfId="0" applyFont="1" applyFill="1" applyBorder="1" applyAlignment="1">
      <alignment horizontal="justify" vertical="center"/>
    </xf>
    <xf numFmtId="2" fontId="29" fillId="2" borderId="3" xfId="0" applyNumberFormat="1" applyFont="1" applyFill="1" applyBorder="1"/>
    <xf numFmtId="0" fontId="28" fillId="2" borderId="0" xfId="0" applyFont="1" applyFill="1" applyBorder="1" applyAlignment="1">
      <alignment horizontal="right"/>
    </xf>
    <xf numFmtId="0" fontId="28" fillId="2" borderId="0" xfId="0" applyFont="1" applyFill="1" applyBorder="1"/>
    <xf numFmtId="0" fontId="31" fillId="2" borderId="0" xfId="0" applyFont="1" applyFill="1" applyBorder="1"/>
    <xf numFmtId="0" fontId="34" fillId="2" borderId="0" xfId="0" applyFont="1" applyFill="1" applyBorder="1"/>
    <xf numFmtId="2" fontId="29" fillId="2" borderId="0" xfId="0" applyNumberFormat="1" applyFont="1" applyFill="1" applyBorder="1"/>
    <xf numFmtId="0" fontId="34" fillId="2" borderId="3" xfId="0" applyFont="1" applyFill="1" applyBorder="1" applyAlignment="1">
      <alignment vertical="center"/>
    </xf>
    <xf numFmtId="0" fontId="35" fillId="2" borderId="0" xfId="0" applyFont="1" applyFill="1" applyBorder="1"/>
    <xf numFmtId="0" fontId="30" fillId="2" borderId="0" xfId="0" applyFont="1" applyFill="1" applyBorder="1"/>
    <xf numFmtId="0" fontId="36" fillId="2" borderId="0" xfId="0" applyFont="1" applyFill="1" applyBorder="1"/>
    <xf numFmtId="0" fontId="37" fillId="2" borderId="0" xfId="0" applyFont="1" applyFill="1"/>
    <xf numFmtId="0" fontId="1" fillId="0" borderId="0" xfId="0" applyFont="1" applyBorder="1"/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2" fontId="39" fillId="0" borderId="1" xfId="0" applyNumberFormat="1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1" fillId="0" borderId="0" xfId="0" applyFont="1" applyAlignment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39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 wrapText="1"/>
    </xf>
    <xf numFmtId="0" fontId="20" fillId="0" borderId="6" xfId="0" applyFont="1" applyBorder="1"/>
    <xf numFmtId="2" fontId="21" fillId="0" borderId="0" xfId="0" applyNumberFormat="1" applyFont="1"/>
    <xf numFmtId="2" fontId="20" fillId="0" borderId="0" xfId="0" applyNumberFormat="1" applyFont="1"/>
    <xf numFmtId="0" fontId="4" fillId="0" borderId="0" xfId="0" applyFont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center" vertical="center" wrapText="1"/>
    </xf>
    <xf numFmtId="2" fontId="20" fillId="0" borderId="0" xfId="0" applyNumberFormat="1" applyFont="1" applyBorder="1"/>
    <xf numFmtId="2" fontId="21" fillId="0" borderId="0" xfId="0" applyNumberFormat="1" applyFont="1" applyBorder="1"/>
    <xf numFmtId="2" fontId="41" fillId="0" borderId="0" xfId="0" applyNumberFormat="1" applyFont="1"/>
    <xf numFmtId="1" fontId="20" fillId="0" borderId="0" xfId="0" applyNumberFormat="1" applyFont="1"/>
    <xf numFmtId="1" fontId="4" fillId="0" borderId="1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2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" fontId="21" fillId="0" borderId="0" xfId="0" applyNumberFormat="1" applyFont="1" applyBorder="1"/>
    <xf numFmtId="1" fontId="24" fillId="0" borderId="0" xfId="0" applyNumberFormat="1" applyFont="1"/>
    <xf numFmtId="0" fontId="42" fillId="0" borderId="0" xfId="0" applyFont="1"/>
    <xf numFmtId="0" fontId="24" fillId="0" borderId="0" xfId="0" applyFont="1"/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1" fillId="0" borderId="3" xfId="0" applyFont="1" applyFill="1" applyBorder="1"/>
    <xf numFmtId="0" fontId="38" fillId="0" borderId="3" xfId="0" applyFont="1" applyFill="1" applyBorder="1"/>
    <xf numFmtId="0" fontId="3" fillId="0" borderId="0" xfId="0" applyFont="1" applyFill="1"/>
    <xf numFmtId="9" fontId="1" fillId="0" borderId="0" xfId="0" applyNumberFormat="1" applyFont="1" applyFill="1"/>
    <xf numFmtId="0" fontId="18" fillId="0" borderId="0" xfId="0" applyFont="1" applyFill="1"/>
    <xf numFmtId="0" fontId="1" fillId="0" borderId="0" xfId="0" applyFont="1" applyFill="1" applyBorder="1"/>
    <xf numFmtId="0" fontId="38" fillId="0" borderId="0" xfId="0" applyFont="1" applyFill="1" applyBorder="1"/>
    <xf numFmtId="0" fontId="3" fillId="0" borderId="3" xfId="0" applyFont="1" applyFill="1" applyBorder="1"/>
    <xf numFmtId="0" fontId="2" fillId="0" borderId="0" xfId="0" applyFont="1"/>
    <xf numFmtId="0" fontId="1" fillId="0" borderId="3" xfId="0" applyFont="1" applyBorder="1"/>
    <xf numFmtId="0" fontId="2" fillId="0" borderId="0" xfId="0" applyFont="1" applyFill="1" applyBorder="1" applyAlignment="1">
      <alignment wrapText="1"/>
    </xf>
    <xf numFmtId="1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/>
    <xf numFmtId="0" fontId="20" fillId="0" borderId="4" xfId="0" applyFont="1" applyBorder="1" applyAlignment="1">
      <alignment horizontal="right"/>
    </xf>
    <xf numFmtId="0" fontId="20" fillId="0" borderId="4" xfId="0" applyFont="1" applyBorder="1" applyAlignment="1">
      <alignment wrapText="1"/>
    </xf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/>
    <xf numFmtId="0" fontId="21" fillId="0" borderId="4" xfId="0" applyFont="1" applyBorder="1" applyAlignment="1">
      <alignment vertical="center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/>
    <xf numFmtId="1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/>
    <xf numFmtId="1" fontId="20" fillId="0" borderId="0" xfId="0" applyNumberFormat="1" applyFont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Border="1"/>
    <xf numFmtId="0" fontId="2" fillId="0" borderId="8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2" fillId="0" borderId="7" xfId="0" applyFont="1" applyFill="1" applyBorder="1" applyAlignment="1">
      <alignment horizontal="left"/>
    </xf>
    <xf numFmtId="0" fontId="21" fillId="0" borderId="3" xfId="0" applyFont="1" applyBorder="1" applyAlignment="1">
      <alignment horizontal="center"/>
    </xf>
    <xf numFmtId="0" fontId="21" fillId="0" borderId="3" xfId="0" applyFont="1" applyBorder="1" applyAlignment="1">
      <alignment horizontal="left"/>
    </xf>
    <xf numFmtId="0" fontId="20" fillId="0" borderId="0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" fontId="21" fillId="0" borderId="4" xfId="0" applyNumberFormat="1" applyFont="1" applyBorder="1" applyAlignment="1">
      <alignment horizontal="center" vertical="center" wrapText="1"/>
    </xf>
    <xf numFmtId="1" fontId="21" fillId="0" borderId="3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zoomScale="85" zoomScaleNormal="85" workbookViewId="0">
      <selection activeCell="E4" sqref="E4"/>
    </sheetView>
  </sheetViews>
  <sheetFormatPr defaultColWidth="11.5703125" defaultRowHeight="12.75" x14ac:dyDescent="0.2"/>
  <cols>
    <col min="1" max="1" width="31.140625" style="1" customWidth="1"/>
    <col min="2" max="2" width="12.5703125" style="1" bestFit="1" customWidth="1"/>
    <col min="3" max="3" width="14.42578125" style="1" bestFit="1" customWidth="1"/>
    <col min="4" max="4" width="14.28515625" style="1" bestFit="1" customWidth="1"/>
    <col min="5" max="5" width="14.7109375" style="1" bestFit="1" customWidth="1"/>
    <col min="6" max="6" width="7.7109375" style="1" bestFit="1" customWidth="1"/>
    <col min="7" max="16384" width="11.5703125" style="1"/>
  </cols>
  <sheetData>
    <row r="1" spans="1:8" x14ac:dyDescent="0.2">
      <c r="A1" s="232" t="s">
        <v>307</v>
      </c>
      <c r="B1" s="233"/>
      <c r="C1" s="233"/>
      <c r="D1" s="233"/>
      <c r="E1" s="233"/>
      <c r="F1" s="233"/>
      <c r="G1" s="233"/>
      <c r="H1" s="233"/>
    </row>
    <row r="2" spans="1:8" x14ac:dyDescent="0.2">
      <c r="A2" s="233"/>
      <c r="B2" s="233"/>
      <c r="C2" s="233"/>
      <c r="D2" s="233"/>
      <c r="E2" s="233"/>
      <c r="F2" s="233"/>
      <c r="G2" s="233"/>
      <c r="H2" s="233"/>
    </row>
    <row r="3" spans="1:8" ht="25.5" x14ac:dyDescent="0.2">
      <c r="A3" s="233"/>
      <c r="B3" s="234" t="s">
        <v>29</v>
      </c>
      <c r="C3" s="234" t="s">
        <v>45</v>
      </c>
      <c r="D3" s="234" t="s">
        <v>46</v>
      </c>
      <c r="E3" s="234" t="s">
        <v>47</v>
      </c>
      <c r="F3" s="233"/>
      <c r="G3" s="233"/>
      <c r="H3" s="233"/>
    </row>
    <row r="4" spans="1:8" x14ac:dyDescent="0.2">
      <c r="A4" s="235"/>
      <c r="B4" s="236" t="s">
        <v>42</v>
      </c>
      <c r="C4" s="236" t="s">
        <v>42</v>
      </c>
      <c r="D4" s="236" t="s">
        <v>42</v>
      </c>
      <c r="E4" s="236" t="s">
        <v>42</v>
      </c>
      <c r="F4" s="242" t="s">
        <v>48</v>
      </c>
      <c r="G4" s="233"/>
      <c r="H4" s="233"/>
    </row>
    <row r="5" spans="1:8" x14ac:dyDescent="0.2">
      <c r="A5" s="234" t="s">
        <v>334</v>
      </c>
      <c r="B5" s="232">
        <f>SUM(B6:B9)</f>
        <v>845.4</v>
      </c>
      <c r="C5" s="232">
        <f>SUM(C6:C9)</f>
        <v>750.9</v>
      </c>
      <c r="D5" s="232">
        <f>SUM(D6:D9)</f>
        <v>750.9</v>
      </c>
      <c r="E5" s="232">
        <f>SUM(E6:E9)</f>
        <v>62.4</v>
      </c>
      <c r="F5" s="232">
        <f>SUM(B5:E5)</f>
        <v>2409.6</v>
      </c>
      <c r="H5" s="233"/>
    </row>
    <row r="6" spans="1:8" x14ac:dyDescent="0.2">
      <c r="A6" s="240" t="s">
        <v>309</v>
      </c>
      <c r="B6" s="241">
        <f>C6</f>
        <v>325.7</v>
      </c>
      <c r="C6" s="241">
        <v>325.7</v>
      </c>
      <c r="D6" s="241">
        <f>C6</f>
        <v>325.7</v>
      </c>
      <c r="E6" s="241"/>
      <c r="F6" s="237"/>
      <c r="G6" s="233"/>
      <c r="H6" s="233"/>
    </row>
    <row r="7" spans="1:8" x14ac:dyDescent="0.2">
      <c r="A7" s="240" t="s">
        <v>310</v>
      </c>
      <c r="B7" s="241">
        <f>C7+106.3</f>
        <v>458.90000000000003</v>
      </c>
      <c r="C7" s="241">
        <v>352.6</v>
      </c>
      <c r="D7" s="241">
        <f t="shared" ref="D7:D9" si="0">C7</f>
        <v>352.6</v>
      </c>
      <c r="E7" s="241"/>
      <c r="F7" s="237"/>
      <c r="G7" s="233"/>
      <c r="H7" s="233"/>
    </row>
    <row r="8" spans="1:8" x14ac:dyDescent="0.2">
      <c r="A8" s="240" t="s">
        <v>311</v>
      </c>
      <c r="B8" s="241">
        <f>16*0.3</f>
        <v>4.8</v>
      </c>
      <c r="C8" s="241">
        <f>0.3*34</f>
        <v>10.199999999999999</v>
      </c>
      <c r="D8" s="241">
        <f t="shared" si="0"/>
        <v>10.199999999999999</v>
      </c>
      <c r="E8" s="241"/>
      <c r="F8" s="260"/>
      <c r="G8" s="233"/>
      <c r="H8" s="233"/>
    </row>
    <row r="9" spans="1:8" x14ac:dyDescent="0.2">
      <c r="A9" s="244" t="s">
        <v>312</v>
      </c>
      <c r="B9" s="244">
        <f>28*2</f>
        <v>56</v>
      </c>
      <c r="C9" s="244">
        <f>2*31.2</f>
        <v>62.4</v>
      </c>
      <c r="D9" s="236">
        <f t="shared" si="0"/>
        <v>62.4</v>
      </c>
      <c r="E9" s="244">
        <f>C9</f>
        <v>62.4</v>
      </c>
      <c r="F9" s="244"/>
      <c r="G9" s="233"/>
      <c r="H9" s="233"/>
    </row>
    <row r="10" spans="1:8" x14ac:dyDescent="0.2">
      <c r="A10" s="191" t="s">
        <v>318</v>
      </c>
      <c r="B10" s="191"/>
      <c r="C10" s="191"/>
      <c r="D10" s="191"/>
      <c r="E10" s="191"/>
      <c r="F10" s="191"/>
      <c r="G10" s="233"/>
      <c r="H10" s="233"/>
    </row>
    <row r="11" spans="1:8" ht="25.5" x14ac:dyDescent="0.2">
      <c r="A11" s="240"/>
      <c r="B11" s="245" t="s">
        <v>29</v>
      </c>
      <c r="C11" s="245" t="s">
        <v>45</v>
      </c>
      <c r="D11" s="245" t="s">
        <v>46</v>
      </c>
      <c r="E11" s="245" t="s">
        <v>47</v>
      </c>
      <c r="F11" s="240"/>
      <c r="G11" s="233"/>
      <c r="H11" s="233"/>
    </row>
    <row r="12" spans="1:8" x14ac:dyDescent="0.2">
      <c r="A12" s="235"/>
      <c r="B12" s="236" t="s">
        <v>42</v>
      </c>
      <c r="C12" s="236" t="s">
        <v>42</v>
      </c>
      <c r="D12" s="236" t="s">
        <v>42</v>
      </c>
      <c r="E12" s="236" t="s">
        <v>42</v>
      </c>
      <c r="F12" s="242" t="s">
        <v>48</v>
      </c>
      <c r="G12" s="233"/>
      <c r="H12" s="233"/>
    </row>
    <row r="13" spans="1:8" x14ac:dyDescent="0.2">
      <c r="A13" s="243" t="s">
        <v>333</v>
      </c>
      <c r="B13" s="243">
        <f>SUM(B14:B16)</f>
        <v>186</v>
      </c>
      <c r="C13" s="243">
        <f t="shared" ref="C13:E13" si="1">SUM(C14:C16)</f>
        <v>245.20000000000002</v>
      </c>
      <c r="D13" s="243">
        <f t="shared" si="1"/>
        <v>229.20000000000002</v>
      </c>
      <c r="E13" s="243">
        <f t="shared" si="1"/>
        <v>213.79999999999998</v>
      </c>
      <c r="F13" s="232">
        <f>SUM(B13:E13)</f>
        <v>874.2</v>
      </c>
      <c r="G13" s="233"/>
      <c r="H13" s="233"/>
    </row>
    <row r="14" spans="1:8" x14ac:dyDescent="0.2">
      <c r="A14" s="1" t="s">
        <v>329</v>
      </c>
      <c r="B14" s="1">
        <f>139.4-B8</f>
        <v>134.6</v>
      </c>
      <c r="C14" s="1">
        <f>90.7-C8/2</f>
        <v>85.600000000000009</v>
      </c>
      <c r="D14" s="1">
        <f>85.5-D8/2</f>
        <v>80.400000000000006</v>
      </c>
      <c r="G14" s="233"/>
      <c r="H14" s="233"/>
    </row>
    <row r="15" spans="1:8" x14ac:dyDescent="0.2">
      <c r="A15" s="191" t="s">
        <v>330</v>
      </c>
      <c r="B15" s="191">
        <f>51.4</f>
        <v>51.4</v>
      </c>
      <c r="C15" s="191">
        <f>94.7-C8/2</f>
        <v>89.600000000000009</v>
      </c>
      <c r="D15" s="191">
        <f>83.9-D8/2</f>
        <v>78.800000000000011</v>
      </c>
      <c r="E15" s="191">
        <f>209.6+4.2</f>
        <v>213.79999999999998</v>
      </c>
      <c r="F15" s="191"/>
      <c r="G15" s="233"/>
      <c r="H15" s="233"/>
    </row>
    <row r="16" spans="1:8" x14ac:dyDescent="0.2">
      <c r="A16" s="244" t="s">
        <v>313</v>
      </c>
      <c r="B16" s="244"/>
      <c r="C16" s="244">
        <f>2.8*25</f>
        <v>70</v>
      </c>
      <c r="D16" s="244">
        <f>C16</f>
        <v>70</v>
      </c>
      <c r="E16" s="244"/>
      <c r="F16" s="244"/>
      <c r="G16" s="233"/>
      <c r="H16" s="233"/>
    </row>
    <row r="17" spans="1:8" ht="13.5" thickBot="1" x14ac:dyDescent="0.25">
      <c r="A17" s="191" t="s">
        <v>332</v>
      </c>
      <c r="B17" s="191"/>
      <c r="C17" s="191"/>
      <c r="D17" s="191"/>
      <c r="E17" s="191"/>
      <c r="F17" s="191"/>
      <c r="G17" s="233"/>
      <c r="H17" s="233"/>
    </row>
    <row r="18" spans="1:8" ht="13.5" thickBot="1" x14ac:dyDescent="0.25">
      <c r="A18" s="263" t="s">
        <v>335</v>
      </c>
      <c r="B18" s="264">
        <f>F5+F13</f>
        <v>3283.8</v>
      </c>
      <c r="C18" s="191"/>
      <c r="D18" s="191"/>
      <c r="G18" s="233"/>
      <c r="H18" s="233"/>
    </row>
    <row r="19" spans="1:8" x14ac:dyDescent="0.2">
      <c r="A19" s="191"/>
      <c r="B19" s="191"/>
      <c r="C19" s="191"/>
      <c r="D19" s="191"/>
      <c r="E19" s="191"/>
      <c r="F19" s="191"/>
      <c r="G19" s="233"/>
      <c r="H19" s="233"/>
    </row>
    <row r="20" spans="1:8" ht="25.5" x14ac:dyDescent="0.2">
      <c r="A20" s="191"/>
      <c r="B20" s="245" t="s">
        <v>29</v>
      </c>
      <c r="C20" s="245" t="s">
        <v>45</v>
      </c>
      <c r="D20" s="245" t="s">
        <v>46</v>
      </c>
      <c r="E20" s="245" t="s">
        <v>47</v>
      </c>
      <c r="F20" s="240"/>
      <c r="G20" s="233"/>
      <c r="H20" s="233"/>
    </row>
    <row r="21" spans="1:8" x14ac:dyDescent="0.2">
      <c r="A21" s="244"/>
      <c r="B21" s="236" t="s">
        <v>42</v>
      </c>
      <c r="C21" s="236" t="s">
        <v>42</v>
      </c>
      <c r="D21" s="236" t="s">
        <v>42</v>
      </c>
      <c r="E21" s="236" t="s">
        <v>42</v>
      </c>
      <c r="F21" s="242" t="s">
        <v>48</v>
      </c>
      <c r="G21" s="233"/>
      <c r="H21" s="233"/>
    </row>
    <row r="22" spans="1:8" x14ac:dyDescent="0.2">
      <c r="A22" s="243" t="s">
        <v>317</v>
      </c>
      <c r="B22" s="243">
        <f>SUM(B23:B26)</f>
        <v>1273.9000000000001</v>
      </c>
      <c r="C22" s="243">
        <f t="shared" ref="C22:E22" si="2">SUM(C23:C26)</f>
        <v>0</v>
      </c>
      <c r="D22" s="243">
        <f t="shared" si="2"/>
        <v>0</v>
      </c>
      <c r="E22" s="243">
        <f t="shared" si="2"/>
        <v>638.69999999999993</v>
      </c>
      <c r="F22" s="232">
        <f>SUM(B22:E22)</f>
        <v>1912.6</v>
      </c>
      <c r="G22" s="233"/>
      <c r="H22" s="233"/>
    </row>
    <row r="23" spans="1:8" x14ac:dyDescent="0.2">
      <c r="A23" s="191" t="s">
        <v>316</v>
      </c>
      <c r="B23" s="191">
        <f>18.7+76.6</f>
        <v>95.3</v>
      </c>
      <c r="C23" s="261"/>
      <c r="D23" s="261"/>
      <c r="E23" s="261"/>
      <c r="F23" s="261"/>
      <c r="G23" s="233"/>
      <c r="H23" s="233"/>
    </row>
    <row r="24" spans="1:8" x14ac:dyDescent="0.2">
      <c r="A24" s="191" t="s">
        <v>314</v>
      </c>
      <c r="B24" s="191">
        <v>443.1</v>
      </c>
      <c r="C24" s="191"/>
      <c r="D24" s="191"/>
      <c r="E24" s="191"/>
      <c r="F24" s="191"/>
      <c r="G24" s="233"/>
      <c r="H24" s="233"/>
    </row>
    <row r="25" spans="1:8" x14ac:dyDescent="0.2">
      <c r="A25" s="191" t="s">
        <v>315</v>
      </c>
      <c r="B25" s="191">
        <v>735.5</v>
      </c>
      <c r="C25" s="191"/>
      <c r="D25" s="191"/>
      <c r="E25" s="191"/>
      <c r="F25" s="191"/>
      <c r="G25" s="233"/>
      <c r="H25" s="233"/>
    </row>
    <row r="26" spans="1:8" x14ac:dyDescent="0.2">
      <c r="A26" s="244" t="s">
        <v>331</v>
      </c>
      <c r="B26" s="244"/>
      <c r="C26" s="244"/>
      <c r="D26" s="244"/>
      <c r="E26" s="244">
        <f>402.8+7.9+437.6-209.6</f>
        <v>638.69999999999993</v>
      </c>
      <c r="F26" s="244"/>
      <c r="G26" s="233"/>
      <c r="H26" s="233"/>
    </row>
    <row r="27" spans="1:8" ht="13.5" thickBot="1" x14ac:dyDescent="0.25">
      <c r="G27" s="233"/>
      <c r="H27" s="233"/>
    </row>
    <row r="28" spans="1:8" ht="13.5" thickBot="1" x14ac:dyDescent="0.25">
      <c r="A28" s="265" t="s">
        <v>336</v>
      </c>
      <c r="B28" s="262">
        <f>F22</f>
        <v>1912.6</v>
      </c>
      <c r="G28" s="233"/>
      <c r="H28" s="233"/>
    </row>
    <row r="29" spans="1:8" x14ac:dyDescent="0.2">
      <c r="A29" s="233"/>
      <c r="B29" s="233"/>
      <c r="C29" s="233"/>
      <c r="D29" s="233"/>
      <c r="E29" s="233"/>
      <c r="F29" s="233"/>
      <c r="G29" s="233"/>
      <c r="H29" s="233"/>
    </row>
    <row r="30" spans="1:8" x14ac:dyDescent="0.2">
      <c r="A30" s="232" t="s">
        <v>61</v>
      </c>
      <c r="B30" s="233"/>
      <c r="C30" s="233" t="s">
        <v>62</v>
      </c>
      <c r="D30" s="233" t="s">
        <v>62</v>
      </c>
      <c r="E30" s="233"/>
      <c r="F30" s="233"/>
      <c r="G30" s="233"/>
      <c r="H30" s="233"/>
    </row>
    <row r="31" spans="1:8" x14ac:dyDescent="0.2">
      <c r="A31" s="233" t="s">
        <v>59</v>
      </c>
      <c r="B31" s="233">
        <v>3561.61</v>
      </c>
      <c r="C31" s="238">
        <v>0.6</v>
      </c>
      <c r="D31" s="233">
        <f>B31*C31</f>
        <v>2136.9659999999999</v>
      </c>
      <c r="E31" s="233"/>
      <c r="F31" s="233"/>
      <c r="G31" s="233"/>
      <c r="H31" s="233"/>
    </row>
    <row r="32" spans="1:8" x14ac:dyDescent="0.2">
      <c r="A32" s="233" t="s">
        <v>58</v>
      </c>
      <c r="B32" s="233">
        <v>2600</v>
      </c>
      <c r="C32" s="238">
        <v>0.6</v>
      </c>
      <c r="D32" s="233">
        <f>B32*C32</f>
        <v>1560</v>
      </c>
      <c r="E32" s="233"/>
      <c r="F32" s="233"/>
      <c r="G32" s="233"/>
      <c r="H32" s="233"/>
    </row>
    <row r="33" spans="1:8" x14ac:dyDescent="0.2">
      <c r="A33" s="233" t="s">
        <v>337</v>
      </c>
      <c r="B33" s="233">
        <v>2600</v>
      </c>
      <c r="C33" s="238">
        <f>D33/B33</f>
        <v>0.39692307692307693</v>
      </c>
      <c r="D33" s="239">
        <f>1108.6-76.6</f>
        <v>1032</v>
      </c>
      <c r="E33" s="233"/>
      <c r="F33" s="233"/>
      <c r="G33" s="233"/>
      <c r="H33" s="233"/>
    </row>
    <row r="34" spans="1:8" x14ac:dyDescent="0.2">
      <c r="E34" s="233"/>
      <c r="F34" s="233"/>
      <c r="G34" s="233"/>
      <c r="H34" s="233"/>
    </row>
    <row r="35" spans="1:8" x14ac:dyDescent="0.2">
      <c r="D35" s="233"/>
      <c r="E35" s="233"/>
      <c r="F35" s="233"/>
      <c r="G35" s="233"/>
      <c r="H35" s="233"/>
    </row>
    <row r="36" spans="1:8" x14ac:dyDescent="0.2">
      <c r="A36" s="233"/>
      <c r="B36" s="233"/>
      <c r="C36" s="233"/>
      <c r="D36" s="233"/>
      <c r="E36" s="233"/>
      <c r="F36" s="233"/>
      <c r="G36" s="233"/>
      <c r="H36" s="233"/>
    </row>
  </sheetData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0"/>
  <sheetViews>
    <sheetView zoomScaleNormal="100" workbookViewId="0">
      <selection activeCell="J26" sqref="J26"/>
    </sheetView>
  </sheetViews>
  <sheetFormatPr defaultColWidth="11.5703125" defaultRowHeight="11.25" x14ac:dyDescent="0.2"/>
  <cols>
    <col min="1" max="1" width="20.5703125" style="2" bestFit="1" customWidth="1"/>
    <col min="2" max="3" width="6.7109375" style="2" customWidth="1"/>
    <col min="4" max="4" width="3.28515625" style="2" bestFit="1" customWidth="1"/>
    <col min="5" max="5" width="6.28515625" style="2" bestFit="1" customWidth="1"/>
    <col min="6" max="6" width="6.7109375" style="2" customWidth="1"/>
    <col min="7" max="7" width="3.28515625" style="2" bestFit="1" customWidth="1"/>
    <col min="8" max="8" width="6.28515625" style="2" bestFit="1" customWidth="1"/>
    <col min="9" max="9" width="6.7109375" style="2" customWidth="1"/>
    <col min="10" max="10" width="6.28515625" style="2" bestFit="1" customWidth="1"/>
    <col min="11" max="11" width="23.42578125" style="2" customWidth="1"/>
    <col min="12" max="12" width="20.5703125" style="145" bestFit="1" customWidth="1"/>
    <col min="13" max="14" width="6.7109375" style="145" customWidth="1"/>
    <col min="15" max="15" width="3.7109375" style="145" bestFit="1" customWidth="1"/>
    <col min="16" max="16" width="6.7109375" style="145" bestFit="1" customWidth="1"/>
    <col min="17" max="17" width="6.7109375" style="145" customWidth="1"/>
    <col min="18" max="18" width="3.7109375" style="145" bestFit="1" customWidth="1"/>
    <col min="19" max="19" width="6.7109375" style="145" bestFit="1" customWidth="1"/>
    <col min="20" max="20" width="6.7109375" style="145" customWidth="1"/>
    <col min="21" max="21" width="6.7109375" style="145" bestFit="1" customWidth="1"/>
    <col min="22" max="247" width="8.85546875" style="2" customWidth="1"/>
    <col min="248" max="16384" width="11.5703125" style="2"/>
  </cols>
  <sheetData>
    <row r="1" spans="1:21" ht="33.75" x14ac:dyDescent="0.2">
      <c r="A1" s="156" t="s">
        <v>305</v>
      </c>
      <c r="B1" s="13" t="s">
        <v>29</v>
      </c>
      <c r="C1" s="13" t="s">
        <v>45</v>
      </c>
      <c r="D1" s="3"/>
      <c r="E1" s="3"/>
      <c r="F1" s="13" t="s">
        <v>46</v>
      </c>
      <c r="G1" s="3"/>
      <c r="H1" s="3"/>
      <c r="I1" s="13" t="s">
        <v>47</v>
      </c>
      <c r="L1" s="158" t="s">
        <v>304</v>
      </c>
      <c r="M1" s="159" t="s">
        <v>29</v>
      </c>
      <c r="N1" s="159" t="s">
        <v>45</v>
      </c>
      <c r="O1" s="160"/>
      <c r="P1" s="160"/>
      <c r="Q1" s="159" t="s">
        <v>46</v>
      </c>
      <c r="R1" s="160"/>
      <c r="S1" s="160"/>
      <c r="T1" s="159" t="s">
        <v>47</v>
      </c>
      <c r="U1" s="161"/>
    </row>
    <row r="2" spans="1:21" x14ac:dyDescent="0.2">
      <c r="A2" s="4"/>
      <c r="B2" s="5" t="s">
        <v>42</v>
      </c>
      <c r="C2" s="16" t="s">
        <v>42</v>
      </c>
      <c r="D2" s="16" t="s">
        <v>147</v>
      </c>
      <c r="E2" s="5" t="s">
        <v>43</v>
      </c>
      <c r="F2" s="16" t="s">
        <v>42</v>
      </c>
      <c r="G2" s="16" t="s">
        <v>147</v>
      </c>
      <c r="H2" s="5" t="s">
        <v>43</v>
      </c>
      <c r="I2" s="5" t="s">
        <v>42</v>
      </c>
      <c r="J2" s="155" t="s">
        <v>48</v>
      </c>
      <c r="L2" s="162"/>
      <c r="M2" s="162" t="s">
        <v>42</v>
      </c>
      <c r="N2" s="163" t="s">
        <v>42</v>
      </c>
      <c r="O2" s="163" t="s">
        <v>44</v>
      </c>
      <c r="P2" s="162" t="s">
        <v>43</v>
      </c>
      <c r="Q2" s="163" t="s">
        <v>42</v>
      </c>
      <c r="R2" s="163" t="s">
        <v>44</v>
      </c>
      <c r="S2" s="162" t="s">
        <v>43</v>
      </c>
      <c r="T2" s="162" t="s">
        <v>42</v>
      </c>
      <c r="U2" s="160" t="s">
        <v>48</v>
      </c>
    </row>
    <row r="3" spans="1:21" x14ac:dyDescent="0.2">
      <c r="A3" s="6" t="s">
        <v>28</v>
      </c>
      <c r="C3" s="17"/>
      <c r="D3" s="17"/>
      <c r="F3" s="17"/>
      <c r="G3" s="17"/>
      <c r="L3" s="164" t="s">
        <v>28</v>
      </c>
      <c r="M3" s="161"/>
      <c r="N3" s="165"/>
      <c r="O3" s="165"/>
      <c r="P3" s="161"/>
      <c r="Q3" s="165"/>
      <c r="R3" s="165"/>
      <c r="S3" s="161"/>
      <c r="T3" s="161"/>
      <c r="U3" s="161"/>
    </row>
    <row r="4" spans="1:21" x14ac:dyDescent="0.2">
      <c r="A4" s="8" t="s">
        <v>301</v>
      </c>
      <c r="B4" s="8">
        <f>'Quadre d’àrees de projecte  '!F45+'Quadre d’àrees de projecte  '!F46+'Quadre d’àrees de projecte  '!F47+'Quadre d’àrees de projecte  '!F48</f>
        <v>181.48000000000002</v>
      </c>
      <c r="C4" s="17"/>
      <c r="D4" s="17"/>
      <c r="F4" s="17"/>
      <c r="G4" s="17"/>
      <c r="J4" s="149">
        <f>SUM(B4:I4)</f>
        <v>181.48000000000002</v>
      </c>
      <c r="L4" s="166" t="s">
        <v>30</v>
      </c>
      <c r="M4" s="166">
        <v>91.7</v>
      </c>
      <c r="N4" s="165"/>
      <c r="O4" s="165"/>
      <c r="P4" s="161"/>
      <c r="Q4" s="165"/>
      <c r="R4" s="165"/>
      <c r="S4" s="161"/>
      <c r="T4" s="161"/>
      <c r="U4" s="167">
        <v>91.7</v>
      </c>
    </row>
    <row r="5" spans="1:21" x14ac:dyDescent="0.2">
      <c r="A5" s="100" t="s">
        <v>54</v>
      </c>
      <c r="B5" s="2">
        <f>'Quadre d’àrees de projecte  '!E34</f>
        <v>36.32</v>
      </c>
      <c r="C5" s="17"/>
      <c r="D5" s="17"/>
      <c r="E5" s="150">
        <f>'Quadre d’àrees de projecte  '!T5</f>
        <v>42.36</v>
      </c>
      <c r="F5" s="17"/>
      <c r="G5" s="17"/>
      <c r="H5" s="2">
        <f>E5</f>
        <v>42.36</v>
      </c>
      <c r="I5" s="150">
        <f>'Quadre d’àrees de projecte  '!AH5</f>
        <v>42.36</v>
      </c>
      <c r="J5" s="2">
        <f t="shared" ref="J5:J12" si="0">B5+E5+H5+I5</f>
        <v>163.4</v>
      </c>
      <c r="L5" s="168" t="s">
        <v>54</v>
      </c>
      <c r="M5" s="161">
        <v>36.19</v>
      </c>
      <c r="N5" s="165"/>
      <c r="O5" s="165"/>
      <c r="P5" s="169">
        <v>40.07</v>
      </c>
      <c r="Q5" s="165"/>
      <c r="R5" s="165"/>
      <c r="S5" s="161">
        <v>40.07</v>
      </c>
      <c r="T5" s="169"/>
      <c r="U5" s="161">
        <v>116.32999999999998</v>
      </c>
    </row>
    <row r="6" spans="1:21" x14ac:dyDescent="0.2">
      <c r="A6" s="8" t="s">
        <v>54</v>
      </c>
      <c r="C6" s="17"/>
      <c r="D6" s="17"/>
      <c r="E6" s="149">
        <f>'Quadre d’àrees de projecte  '!U20+'Quadre d’àrees de projecte  '!U21+'Quadre d’àrees de projecte  '!U22+'Quadre d’àrees de projecte  '!U23+'Quadre d’àrees de projecte  '!U24</f>
        <v>240.31</v>
      </c>
      <c r="F6" s="17"/>
      <c r="G6" s="17"/>
      <c r="H6" s="149">
        <f>'Quadre d’àrees de projecte  '!AB13+'Quadre d’àrees de projecte  '!AB14+'Quadre d’àrees de projecte  '!AB15+'Quadre d’àrees de projecte  '!AB16+'Quadre d’àrees de projecte  '!AB17</f>
        <v>226.55</v>
      </c>
      <c r="I6" s="149">
        <f>'Quadre d’àrees de projecte  '!AI6+'Quadre d’àrees de projecte  '!AI7</f>
        <v>12.190000000000001</v>
      </c>
      <c r="J6" s="149">
        <f>SUM(B6:I6)</f>
        <v>479.05</v>
      </c>
      <c r="L6" s="166" t="s">
        <v>54</v>
      </c>
      <c r="M6" s="161"/>
      <c r="N6" s="165"/>
      <c r="O6" s="165"/>
      <c r="P6" s="167">
        <v>178.2</v>
      </c>
      <c r="Q6" s="165"/>
      <c r="R6" s="165"/>
      <c r="S6" s="167">
        <v>169.53</v>
      </c>
      <c r="T6" s="167"/>
      <c r="U6" s="167">
        <v>347.73</v>
      </c>
    </row>
    <row r="7" spans="1:21" x14ac:dyDescent="0.2">
      <c r="A7" s="100" t="s">
        <v>31</v>
      </c>
      <c r="C7" s="143">
        <f>'Quadre d’àrees de projecte  '!R8+'Quadre d’àrees de projecte  '!R9+'Quadre d’àrees de projecte  '!R10+'Quadre d’àrees de projecte  '!R11</f>
        <v>22.43</v>
      </c>
      <c r="D7" s="17">
        <f>'Quadre d’àrees de projecte  '!S11</f>
        <v>8</v>
      </c>
      <c r="E7" s="2">
        <f>C7*D7</f>
        <v>179.44</v>
      </c>
      <c r="F7" s="17">
        <f>C7</f>
        <v>22.43</v>
      </c>
      <c r="G7" s="17">
        <f>'Quadre d’àrees de projecte  '!Z8</f>
        <v>16</v>
      </c>
      <c r="H7" s="2">
        <f>F7*G7</f>
        <v>358.88</v>
      </c>
      <c r="J7" s="2">
        <f t="shared" si="0"/>
        <v>538.31999999999994</v>
      </c>
      <c r="L7" s="168" t="s">
        <v>31</v>
      </c>
      <c r="M7" s="161"/>
      <c r="N7" s="170">
        <v>22.19</v>
      </c>
      <c r="O7" s="165">
        <v>17</v>
      </c>
      <c r="P7" s="161">
        <v>377.23</v>
      </c>
      <c r="Q7" s="165">
        <v>22.19</v>
      </c>
      <c r="R7" s="165">
        <v>8</v>
      </c>
      <c r="S7" s="161">
        <v>177.52</v>
      </c>
      <c r="T7" s="161"/>
      <c r="U7" s="161">
        <v>554.75</v>
      </c>
    </row>
    <row r="8" spans="1:21" s="145" customFormat="1" x14ac:dyDescent="0.2">
      <c r="A8" s="7" t="s">
        <v>7</v>
      </c>
      <c r="C8" s="147">
        <f>'Quadre d’àrees de projecte  '!R6+'Quadre d’àrees de projecte  '!R7</f>
        <v>22.86</v>
      </c>
      <c r="D8" s="146">
        <v>4</v>
      </c>
      <c r="E8" s="145">
        <f>C8*D8</f>
        <v>91.44</v>
      </c>
      <c r="F8" s="146">
        <f>C8</f>
        <v>22.86</v>
      </c>
      <c r="G8" s="146">
        <f>'Quadre d’àrees de projecte  '!Z11</f>
        <v>8</v>
      </c>
      <c r="H8" s="145">
        <f>F8*G8</f>
        <v>182.88</v>
      </c>
      <c r="J8" s="2">
        <f t="shared" si="0"/>
        <v>274.32</v>
      </c>
      <c r="L8" s="168" t="s">
        <v>7</v>
      </c>
      <c r="M8" s="161"/>
      <c r="N8" s="170">
        <v>22.41</v>
      </c>
      <c r="O8" s="165">
        <v>8</v>
      </c>
      <c r="P8" s="161">
        <v>179.28</v>
      </c>
      <c r="Q8" s="165">
        <v>22.41</v>
      </c>
      <c r="R8" s="165">
        <v>4</v>
      </c>
      <c r="S8" s="161">
        <v>89.64</v>
      </c>
      <c r="T8" s="161"/>
      <c r="U8" s="161">
        <v>268.92</v>
      </c>
    </row>
    <row r="9" spans="1:21" x14ac:dyDescent="0.2">
      <c r="A9" s="100" t="s">
        <v>300</v>
      </c>
      <c r="C9" s="143">
        <f>'Quadre d’àrees de projecte  '!R8+'Quadre d’àrees de projecte  '!R9+'Quadre d’àrees de projecte  '!R10+'Quadre d’àrees de projecte  '!R12*2</f>
        <v>22.03</v>
      </c>
      <c r="D9" s="17">
        <v>6</v>
      </c>
      <c r="E9" s="145">
        <f t="shared" ref="E9:E10" si="1">C9*D9</f>
        <v>132.18</v>
      </c>
      <c r="J9" s="2">
        <f t="shared" si="0"/>
        <v>132.18</v>
      </c>
      <c r="L9" s="168" t="s">
        <v>32</v>
      </c>
      <c r="M9" s="161"/>
      <c r="N9" s="170"/>
      <c r="O9" s="165"/>
      <c r="P9" s="161"/>
      <c r="Q9" s="161">
        <v>21.529999999999998</v>
      </c>
      <c r="R9" s="161">
        <v>6</v>
      </c>
      <c r="S9" s="161">
        <v>129.17999999999998</v>
      </c>
      <c r="T9" s="161"/>
      <c r="U9" s="161">
        <v>129.17999999999998</v>
      </c>
    </row>
    <row r="10" spans="1:21" s="145" customFormat="1" x14ac:dyDescent="0.2">
      <c r="A10" s="7" t="s">
        <v>7</v>
      </c>
      <c r="C10" s="146">
        <f>C8</f>
        <v>22.86</v>
      </c>
      <c r="D10" s="146">
        <v>3</v>
      </c>
      <c r="E10" s="148">
        <f t="shared" si="1"/>
        <v>68.58</v>
      </c>
      <c r="F10" s="148"/>
      <c r="G10" s="148"/>
      <c r="H10" s="148"/>
      <c r="I10" s="148"/>
      <c r="J10" s="2">
        <f t="shared" si="0"/>
        <v>68.58</v>
      </c>
      <c r="L10" s="168" t="s">
        <v>7</v>
      </c>
      <c r="M10" s="161"/>
      <c r="N10" s="165"/>
      <c r="O10" s="165"/>
      <c r="P10" s="171"/>
      <c r="Q10" s="171">
        <v>22.41</v>
      </c>
      <c r="R10" s="171">
        <v>3</v>
      </c>
      <c r="S10" s="171">
        <v>67.23</v>
      </c>
      <c r="T10" s="171"/>
      <c r="U10" s="161">
        <v>67.23</v>
      </c>
    </row>
    <row r="11" spans="1:21" x14ac:dyDescent="0.2">
      <c r="A11" s="100" t="s">
        <v>33</v>
      </c>
      <c r="C11" s="143">
        <f>'Quadre d’àrees de projecte  '!R16+'Quadre d’àrees de projecte  '!R17+'Quadre d’àrees de projecte  '!R18+'Quadre d’àrees de projecte  '!R19+'Quadre d’àrees de projecte  '!R19</f>
        <v>22.06</v>
      </c>
      <c r="D11" s="17">
        <f>'Quadre d’àrees de projecte  '!S16</f>
        <v>2</v>
      </c>
      <c r="E11" s="19">
        <f>C11*D11</f>
        <v>44.12</v>
      </c>
      <c r="F11" s="19"/>
      <c r="G11" s="19"/>
      <c r="H11" s="19"/>
      <c r="I11" s="19"/>
      <c r="J11" s="2">
        <f t="shared" si="0"/>
        <v>44.12</v>
      </c>
      <c r="L11" s="168" t="s">
        <v>33</v>
      </c>
      <c r="M11" s="161"/>
      <c r="N11" s="170"/>
      <c r="O11" s="165"/>
      <c r="P11" s="171"/>
      <c r="Q11" s="171">
        <v>21.529999999999998</v>
      </c>
      <c r="R11" s="171">
        <v>3</v>
      </c>
      <c r="S11" s="171">
        <v>64.589999999999989</v>
      </c>
      <c r="T11" s="171"/>
      <c r="U11" s="161">
        <v>64.589999999999989</v>
      </c>
    </row>
    <row r="12" spans="1:21" x14ac:dyDescent="0.2">
      <c r="A12" s="144" t="s">
        <v>34</v>
      </c>
      <c r="B12" s="4"/>
      <c r="C12" s="142">
        <f>'Quadre d’àrees de projecte  '!R13+'Quadre d’àrees de projecte  '!R14+'Quadre d’àrees de projecte  '!R15</f>
        <v>22.75</v>
      </c>
      <c r="D12" s="18">
        <f>'Quadre d’àrees de projecte  '!S13</f>
        <v>2</v>
      </c>
      <c r="E12" s="4">
        <f>C12*D12</f>
        <v>45.5</v>
      </c>
      <c r="F12" s="4"/>
      <c r="G12" s="4"/>
      <c r="H12" s="4"/>
      <c r="I12" s="4"/>
      <c r="J12" s="4">
        <f t="shared" si="0"/>
        <v>45.5</v>
      </c>
      <c r="L12" s="172" t="s">
        <v>34</v>
      </c>
      <c r="M12" s="162"/>
      <c r="N12" s="173"/>
      <c r="O12" s="163"/>
      <c r="P12" s="162"/>
      <c r="Q12" s="162">
        <v>22.25</v>
      </c>
      <c r="R12" s="162">
        <v>1</v>
      </c>
      <c r="S12" s="162">
        <v>22.25</v>
      </c>
      <c r="T12" s="162"/>
      <c r="U12" s="161">
        <v>22.25</v>
      </c>
    </row>
    <row r="13" spans="1:21" x14ac:dyDescent="0.2">
      <c r="I13" s="9" t="s">
        <v>28</v>
      </c>
      <c r="J13" s="3">
        <f>SUM(J3:J12)</f>
        <v>1926.9499999999998</v>
      </c>
      <c r="L13" s="161"/>
      <c r="M13" s="161"/>
      <c r="N13" s="161"/>
      <c r="O13" s="161"/>
      <c r="P13" s="161"/>
      <c r="Q13" s="161"/>
      <c r="R13" s="161"/>
      <c r="S13" s="161"/>
      <c r="T13" s="174" t="s">
        <v>28</v>
      </c>
      <c r="U13" s="160">
        <v>1670.18</v>
      </c>
    </row>
    <row r="14" spans="1:21" x14ac:dyDescent="0.2">
      <c r="A14" s="15" t="s">
        <v>35</v>
      </c>
      <c r="L14" s="175" t="s">
        <v>35</v>
      </c>
      <c r="M14" s="161"/>
      <c r="N14" s="161"/>
      <c r="O14" s="161"/>
      <c r="P14" s="161"/>
      <c r="Q14" s="161"/>
      <c r="R14" s="161"/>
      <c r="S14" s="161"/>
      <c r="T14" s="161"/>
      <c r="U14" s="161"/>
    </row>
    <row r="15" spans="1:21" x14ac:dyDescent="0.2">
      <c r="A15" s="10" t="s">
        <v>36</v>
      </c>
      <c r="B15" s="150">
        <f>'Quadre d’àrees de projecte  '!M49</f>
        <v>133.89999999999998</v>
      </c>
      <c r="J15" s="2">
        <f>B15+E15+H15+I15</f>
        <v>133.89999999999998</v>
      </c>
      <c r="L15" s="176" t="s">
        <v>36</v>
      </c>
      <c r="M15" s="169">
        <v>117.54</v>
      </c>
      <c r="N15" s="161"/>
      <c r="O15" s="161"/>
      <c r="P15" s="161"/>
      <c r="Q15" s="161"/>
      <c r="R15" s="161"/>
      <c r="S15" s="161"/>
      <c r="T15" s="161"/>
      <c r="U15" s="161">
        <v>117.54</v>
      </c>
    </row>
    <row r="16" spans="1:21" x14ac:dyDescent="0.2">
      <c r="A16" s="11" t="s">
        <v>37</v>
      </c>
      <c r="B16" s="150">
        <f>'Quadre d’àrees de projecte  '!L49</f>
        <v>83.35</v>
      </c>
      <c r="J16" s="2">
        <f>B16+E16+H16+I16</f>
        <v>83.35</v>
      </c>
      <c r="L16" s="177" t="s">
        <v>37</v>
      </c>
      <c r="M16" s="169">
        <v>47.6</v>
      </c>
      <c r="N16" s="161"/>
      <c r="O16" s="161"/>
      <c r="P16" s="161"/>
      <c r="Q16" s="161"/>
      <c r="R16" s="161"/>
      <c r="S16" s="161"/>
      <c r="T16" s="161"/>
      <c r="U16" s="161">
        <v>47.6</v>
      </c>
    </row>
    <row r="17" spans="1:21" x14ac:dyDescent="0.2">
      <c r="A17" s="14" t="s">
        <v>38</v>
      </c>
      <c r="I17" s="149">
        <f>'Quadre d’àrees de projecte  '!AI8</f>
        <v>228.8</v>
      </c>
      <c r="J17" s="149">
        <f>B17+E17+H17+I17</f>
        <v>228.8</v>
      </c>
      <c r="L17" s="178" t="s">
        <v>38</v>
      </c>
      <c r="M17" s="161"/>
      <c r="N17" s="161"/>
      <c r="O17" s="161"/>
      <c r="P17" s="161"/>
      <c r="Q17" s="161"/>
      <c r="R17" s="161"/>
      <c r="S17" s="161"/>
      <c r="T17" s="167">
        <v>300</v>
      </c>
      <c r="U17" s="167">
        <v>300</v>
      </c>
    </row>
    <row r="18" spans="1:21" x14ac:dyDescent="0.2">
      <c r="A18" s="12" t="s">
        <v>39</v>
      </c>
      <c r="B18" s="151">
        <f>'Quadre d’àrees de projecte  '!N49</f>
        <v>48.23</v>
      </c>
      <c r="C18" s="4"/>
      <c r="D18" s="4"/>
      <c r="E18" s="4"/>
      <c r="F18" s="4"/>
      <c r="G18" s="4"/>
      <c r="H18" s="151">
        <f>'Quadre d’àrees de projecte  '!AA9</f>
        <v>23.34</v>
      </c>
      <c r="I18" s="4"/>
      <c r="J18" s="4">
        <f>B18+E18+H18+I18</f>
        <v>71.569999999999993</v>
      </c>
      <c r="L18" s="179" t="s">
        <v>39</v>
      </c>
      <c r="M18" s="180">
        <v>22.75</v>
      </c>
      <c r="N18" s="162"/>
      <c r="O18" s="162"/>
      <c r="P18" s="162"/>
      <c r="Q18" s="162"/>
      <c r="R18" s="162"/>
      <c r="S18" s="162"/>
      <c r="T18" s="162"/>
      <c r="U18" s="171">
        <v>22.75</v>
      </c>
    </row>
    <row r="19" spans="1:21" x14ac:dyDescent="0.2">
      <c r="A19" s="19"/>
      <c r="B19" s="19"/>
      <c r="C19" s="19"/>
      <c r="D19" s="19"/>
      <c r="E19" s="19"/>
      <c r="F19" s="19"/>
      <c r="G19" s="19"/>
      <c r="H19" s="19"/>
      <c r="I19" s="20" t="s">
        <v>49</v>
      </c>
      <c r="J19" s="21">
        <f>SUM(J14:J18)</f>
        <v>517.61999999999989</v>
      </c>
      <c r="L19" s="171"/>
      <c r="M19" s="171"/>
      <c r="N19" s="171"/>
      <c r="O19" s="171"/>
      <c r="P19" s="171"/>
      <c r="Q19" s="171"/>
      <c r="R19" s="171"/>
      <c r="S19" s="171"/>
      <c r="T19" s="181" t="s">
        <v>49</v>
      </c>
      <c r="U19" s="182">
        <v>535.49</v>
      </c>
    </row>
    <row r="20" spans="1:21" x14ac:dyDescent="0.2">
      <c r="A20" s="152" t="s">
        <v>40</v>
      </c>
      <c r="B20" s="19"/>
      <c r="C20" s="19"/>
      <c r="D20" s="19"/>
      <c r="E20" s="19"/>
      <c r="F20" s="19"/>
      <c r="G20" s="19"/>
      <c r="H20" s="19"/>
      <c r="I20" s="19"/>
      <c r="J20" s="19"/>
      <c r="L20" s="183" t="s">
        <v>40</v>
      </c>
      <c r="M20" s="171"/>
      <c r="N20" s="171"/>
      <c r="O20" s="171"/>
      <c r="P20" s="171"/>
      <c r="Q20" s="171"/>
      <c r="R20" s="171"/>
      <c r="S20" s="171"/>
      <c r="T20" s="171"/>
      <c r="U20" s="171"/>
    </row>
    <row r="21" spans="1:21" x14ac:dyDescent="0.2">
      <c r="A21" s="27" t="s">
        <v>215</v>
      </c>
      <c r="B21" s="153">
        <f>'Quadre d’àrees de projecte  '!I49</f>
        <v>155.04500000000002</v>
      </c>
      <c r="C21" s="19"/>
      <c r="D21" s="19"/>
      <c r="E21" s="19"/>
      <c r="F21" s="19"/>
      <c r="G21" s="19"/>
      <c r="H21" s="19"/>
      <c r="I21" s="19"/>
      <c r="J21" s="19">
        <f t="shared" ref="J21" si="2">B21+E21+H21+I21</f>
        <v>155.04500000000002</v>
      </c>
      <c r="L21" s="184" t="s">
        <v>63</v>
      </c>
      <c r="M21" s="185">
        <v>301.14999999999998</v>
      </c>
      <c r="N21" s="171"/>
      <c r="O21" s="171"/>
      <c r="P21" s="171"/>
      <c r="Q21" s="171"/>
      <c r="R21" s="171"/>
      <c r="S21" s="171"/>
      <c r="T21" s="171"/>
      <c r="U21" s="171">
        <v>301.14999999999998</v>
      </c>
    </row>
    <row r="22" spans="1:21" x14ac:dyDescent="0.2">
      <c r="A22" s="27" t="s">
        <v>216</v>
      </c>
      <c r="B22" s="153">
        <f>'Quadre d’àrees de projecte  '!J49</f>
        <v>161.59500000000003</v>
      </c>
      <c r="C22" s="19"/>
      <c r="D22" s="19"/>
      <c r="E22" s="19"/>
      <c r="F22" s="19"/>
      <c r="G22" s="19"/>
      <c r="H22" s="19"/>
      <c r="I22" s="19"/>
      <c r="J22" s="19">
        <f>B22+E22+H22+I22</f>
        <v>161.59500000000003</v>
      </c>
      <c r="L22" s="184" t="s">
        <v>53</v>
      </c>
      <c r="M22" s="185">
        <v>22.75</v>
      </c>
      <c r="N22" s="171"/>
      <c r="O22" s="171"/>
      <c r="P22" s="171"/>
      <c r="Q22" s="171"/>
      <c r="R22" s="171"/>
      <c r="S22" s="171"/>
      <c r="T22" s="171"/>
      <c r="U22" s="171">
        <v>22.75</v>
      </c>
    </row>
    <row r="23" spans="1:21" x14ac:dyDescent="0.2">
      <c r="A23" s="42" t="s">
        <v>217</v>
      </c>
      <c r="B23" s="151">
        <f>'Quadre d’àrees de projecte  '!K49</f>
        <v>86.15</v>
      </c>
      <c r="C23" s="4"/>
      <c r="D23" s="4"/>
      <c r="E23" s="4"/>
      <c r="F23" s="4"/>
      <c r="G23" s="4"/>
      <c r="H23" s="4"/>
      <c r="I23" s="4"/>
      <c r="J23" s="4">
        <f>B23+E23+H23+I23</f>
        <v>86.15</v>
      </c>
      <c r="L23" s="186" t="s">
        <v>41</v>
      </c>
      <c r="M23" s="180">
        <v>10</v>
      </c>
      <c r="N23" s="162"/>
      <c r="O23" s="162"/>
      <c r="P23" s="162"/>
      <c r="Q23" s="162"/>
      <c r="R23" s="162"/>
      <c r="S23" s="162"/>
      <c r="T23" s="162"/>
      <c r="U23" s="162">
        <v>10</v>
      </c>
    </row>
    <row r="24" spans="1:21" x14ac:dyDescent="0.2">
      <c r="A24" s="19"/>
      <c r="B24" s="19"/>
      <c r="C24" s="19"/>
      <c r="D24" s="19"/>
      <c r="E24" s="19"/>
      <c r="F24" s="19"/>
      <c r="G24" s="19"/>
      <c r="H24" s="19"/>
      <c r="I24" s="20" t="s">
        <v>50</v>
      </c>
      <c r="J24" s="21">
        <f>SUM(J20:J23)</f>
        <v>402.79000000000008</v>
      </c>
      <c r="L24" s="171"/>
      <c r="M24" s="171"/>
      <c r="N24" s="171"/>
      <c r="O24" s="171"/>
      <c r="P24" s="171"/>
      <c r="Q24" s="171"/>
      <c r="R24" s="171"/>
      <c r="S24" s="171"/>
      <c r="T24" s="181" t="s">
        <v>50</v>
      </c>
      <c r="U24" s="182">
        <v>399.87</v>
      </c>
    </row>
    <row r="25" spans="1:21" x14ac:dyDescent="0.2">
      <c r="A25" s="22" t="s">
        <v>55</v>
      </c>
      <c r="B25" s="22">
        <f>B26+B27</f>
        <v>886.07</v>
      </c>
      <c r="C25" s="23"/>
      <c r="D25" s="23"/>
      <c r="E25" s="22">
        <f>E26+E27</f>
        <v>843.93000000000006</v>
      </c>
      <c r="F25" s="23"/>
      <c r="G25" s="23"/>
      <c r="H25" s="22">
        <f>H26+H27</f>
        <v>834.01</v>
      </c>
      <c r="I25" s="22">
        <f>I26+I27</f>
        <v>283.35000000000002</v>
      </c>
      <c r="J25" s="22">
        <f>J26+J27</f>
        <v>2847.36</v>
      </c>
      <c r="L25" s="187" t="s">
        <v>55</v>
      </c>
      <c r="M25" s="187">
        <v>770.75</v>
      </c>
      <c r="N25" s="188"/>
      <c r="O25" s="188"/>
      <c r="P25" s="187">
        <v>774.78</v>
      </c>
      <c r="Q25" s="188"/>
      <c r="R25" s="188"/>
      <c r="S25" s="187">
        <v>760.01</v>
      </c>
      <c r="T25" s="187">
        <v>300</v>
      </c>
      <c r="U25" s="187">
        <v>2605.54</v>
      </c>
    </row>
    <row r="26" spans="1:21" x14ac:dyDescent="0.2">
      <c r="A26" s="21" t="s">
        <v>51</v>
      </c>
      <c r="B26" s="21">
        <f>SUM(B4:B23)-B27</f>
        <v>704.59</v>
      </c>
      <c r="C26" s="19"/>
      <c r="D26" s="19"/>
      <c r="E26" s="21">
        <f>SUM(E3:E23)-E27</f>
        <v>603.62000000000012</v>
      </c>
      <c r="F26" s="19"/>
      <c r="G26" s="19"/>
      <c r="H26" s="21">
        <f>SUM(H3:H23)-H27</f>
        <v>607.46</v>
      </c>
      <c r="I26" s="21">
        <f>SUM(I3:I23)-I27</f>
        <v>42.360000000000014</v>
      </c>
      <c r="J26" s="21">
        <f>SUM(B26:I26)</f>
        <v>1958.0300000000002</v>
      </c>
      <c r="L26" s="182" t="s">
        <v>51</v>
      </c>
      <c r="M26" s="182">
        <v>679.05</v>
      </c>
      <c r="N26" s="171"/>
      <c r="O26" s="171"/>
      <c r="P26" s="182">
        <v>596.57999999999993</v>
      </c>
      <c r="Q26" s="171"/>
      <c r="R26" s="171"/>
      <c r="S26" s="182">
        <v>590.48</v>
      </c>
      <c r="T26" s="182"/>
      <c r="U26" s="182">
        <v>1866.11</v>
      </c>
    </row>
    <row r="27" spans="1:21" x14ac:dyDescent="0.2">
      <c r="A27" s="24" t="s">
        <v>52</v>
      </c>
      <c r="B27" s="24">
        <f>B4</f>
        <v>181.48000000000002</v>
      </c>
      <c r="C27" s="24"/>
      <c r="D27" s="24"/>
      <c r="E27" s="24">
        <f>E6</f>
        <v>240.31</v>
      </c>
      <c r="F27" s="24"/>
      <c r="G27" s="24"/>
      <c r="H27" s="24">
        <f>H6</f>
        <v>226.55</v>
      </c>
      <c r="I27" s="157">
        <f>I17+I6</f>
        <v>240.99</v>
      </c>
      <c r="J27" s="24">
        <f>SUM(B27:I27)</f>
        <v>889.33</v>
      </c>
      <c r="L27" s="189" t="s">
        <v>52</v>
      </c>
      <c r="M27" s="189">
        <v>91.7</v>
      </c>
      <c r="N27" s="189"/>
      <c r="O27" s="189"/>
      <c r="P27" s="189">
        <v>178.2</v>
      </c>
      <c r="Q27" s="189"/>
      <c r="R27" s="189"/>
      <c r="S27" s="189">
        <v>169.53</v>
      </c>
      <c r="T27" s="189">
        <v>300</v>
      </c>
      <c r="U27" s="189">
        <v>739.43</v>
      </c>
    </row>
    <row r="28" spans="1:21" x14ac:dyDescent="0.2">
      <c r="L28" s="161"/>
      <c r="M28" s="161"/>
      <c r="N28" s="161"/>
      <c r="O28" s="161"/>
      <c r="P28" s="161"/>
      <c r="Q28" s="161"/>
      <c r="R28" s="161"/>
      <c r="S28" s="161"/>
      <c r="T28" s="161"/>
      <c r="U28" s="161"/>
    </row>
    <row r="29" spans="1:21" x14ac:dyDescent="0.2">
      <c r="A29" s="25" t="s">
        <v>57</v>
      </c>
      <c r="B29" s="25"/>
      <c r="C29" s="25"/>
      <c r="D29" s="25">
        <f>D7+D9+D11+D12</f>
        <v>18</v>
      </c>
      <c r="E29" s="25"/>
      <c r="F29" s="25"/>
      <c r="G29" s="25">
        <f>G7</f>
        <v>16</v>
      </c>
      <c r="H29" s="25"/>
      <c r="I29" s="25"/>
      <c r="J29" s="25">
        <f>D29+G29</f>
        <v>34</v>
      </c>
      <c r="L29" s="190" t="s">
        <v>57</v>
      </c>
      <c r="M29" s="190"/>
      <c r="N29" s="190"/>
      <c r="O29" s="190">
        <v>17</v>
      </c>
      <c r="P29" s="190"/>
      <c r="Q29" s="190"/>
      <c r="R29" s="190">
        <v>17</v>
      </c>
      <c r="S29" s="190"/>
      <c r="T29" s="190"/>
      <c r="U29" s="190">
        <v>34</v>
      </c>
    </row>
    <row r="30" spans="1:21" x14ac:dyDescent="0.2">
      <c r="A30" s="25" t="s">
        <v>56</v>
      </c>
      <c r="B30" s="25"/>
      <c r="C30" s="25"/>
      <c r="D30" s="25">
        <f>D7*4+D9*2+D11*2+D12*2</f>
        <v>52</v>
      </c>
      <c r="E30" s="25"/>
      <c r="F30" s="25"/>
      <c r="G30" s="25">
        <f>G7*4</f>
        <v>64</v>
      </c>
      <c r="H30" s="25"/>
      <c r="I30" s="25"/>
      <c r="J30" s="25">
        <f>D30+G30</f>
        <v>116</v>
      </c>
      <c r="L30" s="190" t="s">
        <v>56</v>
      </c>
      <c r="M30" s="190"/>
      <c r="N30" s="190"/>
      <c r="O30" s="190">
        <v>68</v>
      </c>
      <c r="P30" s="190"/>
      <c r="Q30" s="190"/>
      <c r="R30" s="190">
        <v>63</v>
      </c>
      <c r="S30" s="190"/>
      <c r="T30" s="190"/>
      <c r="U30" s="190">
        <v>131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52"/>
  <sheetViews>
    <sheetView zoomScale="85" zoomScaleNormal="85" workbookViewId="0">
      <selection activeCell="Y21" sqref="Y21:Y22"/>
    </sheetView>
  </sheetViews>
  <sheetFormatPr defaultColWidth="11.5703125" defaultRowHeight="11.25" x14ac:dyDescent="0.2"/>
  <cols>
    <col min="1" max="1" width="5.42578125" style="19" customWidth="1"/>
    <col min="2" max="2" width="19.7109375" style="19" bestFit="1" customWidth="1"/>
    <col min="3" max="3" width="6.7109375" style="153" bestFit="1" customWidth="1"/>
    <col min="4" max="4" width="3.85546875" style="19" bestFit="1" customWidth="1"/>
    <col min="5" max="5" width="9.42578125" style="153" bestFit="1" customWidth="1"/>
    <col min="6" max="6" width="10" style="153" bestFit="1" customWidth="1"/>
    <col min="7" max="7" width="3.85546875" style="153" customWidth="1"/>
    <col min="8" max="14" width="7.5703125" style="154" customWidth="1"/>
    <col min="15" max="15" width="6.85546875" style="19" bestFit="1" customWidth="1"/>
    <col min="16" max="16" width="5.42578125" style="19" customWidth="1"/>
    <col min="17" max="17" width="8.28515625" style="19" bestFit="1" customWidth="1"/>
    <col min="18" max="18" width="6.7109375" style="153" bestFit="1" customWidth="1"/>
    <col min="19" max="19" width="3.85546875" style="19" bestFit="1" customWidth="1"/>
    <col min="20" max="20" width="9.42578125" style="153" bestFit="1" customWidth="1"/>
    <col min="21" max="21" width="10" style="153" bestFit="1" customWidth="1"/>
    <col min="22" max="22" width="8.85546875" style="19" customWidth="1"/>
    <col min="23" max="23" width="5.42578125" style="19" customWidth="1"/>
    <col min="24" max="24" width="8.28515625" style="19" bestFit="1" customWidth="1"/>
    <col min="25" max="25" width="6.7109375" style="153" bestFit="1" customWidth="1"/>
    <col min="26" max="26" width="3.85546875" style="19" bestFit="1" customWidth="1"/>
    <col min="27" max="27" width="9.42578125" style="153" bestFit="1" customWidth="1"/>
    <col min="28" max="28" width="10" style="153" bestFit="1" customWidth="1"/>
    <col min="29" max="29" width="8.85546875" style="19" customWidth="1"/>
    <col min="30" max="30" width="5.42578125" style="19" customWidth="1"/>
    <col min="31" max="31" width="10.28515625" style="19" bestFit="1" customWidth="1"/>
    <col min="32" max="32" width="6.7109375" style="153" bestFit="1" customWidth="1"/>
    <col min="33" max="33" width="3.85546875" style="19" bestFit="1" customWidth="1"/>
    <col min="34" max="34" width="9.42578125" style="153" bestFit="1" customWidth="1"/>
    <col min="35" max="35" width="10" style="153" bestFit="1" customWidth="1"/>
    <col min="36" max="243" width="8.85546875" style="19" customWidth="1"/>
    <col min="244" max="16384" width="11.5703125" style="19"/>
  </cols>
  <sheetData>
    <row r="1" spans="1:35" ht="10.15" x14ac:dyDescent="0.2">
      <c r="A1" s="21" t="s">
        <v>306</v>
      </c>
    </row>
    <row r="3" spans="1:35" s="198" customFormat="1" ht="10.15" x14ac:dyDescent="0.2">
      <c r="A3" s="192" t="s">
        <v>29</v>
      </c>
      <c r="B3" s="192"/>
      <c r="C3" s="193"/>
      <c r="D3" s="192"/>
      <c r="E3" s="193"/>
      <c r="F3" s="193"/>
      <c r="G3" s="194"/>
      <c r="H3" s="195" t="s">
        <v>338</v>
      </c>
      <c r="I3" s="195"/>
      <c r="J3" s="195"/>
      <c r="K3" s="195"/>
      <c r="L3" s="195"/>
      <c r="M3" s="195"/>
      <c r="N3" s="195"/>
      <c r="O3" s="196"/>
      <c r="P3" s="192" t="s">
        <v>64</v>
      </c>
      <c r="Q3" s="192"/>
      <c r="R3" s="193"/>
      <c r="S3" s="192"/>
      <c r="T3" s="193"/>
      <c r="U3" s="193"/>
      <c r="V3" s="197"/>
      <c r="W3" s="192" t="s">
        <v>65</v>
      </c>
      <c r="X3" s="192"/>
      <c r="Y3" s="193"/>
      <c r="Z3" s="192"/>
      <c r="AA3" s="193"/>
      <c r="AB3" s="193"/>
      <c r="AC3" s="40"/>
      <c r="AD3" s="192" t="s">
        <v>66</v>
      </c>
      <c r="AE3" s="192"/>
      <c r="AF3" s="193"/>
      <c r="AG3" s="192"/>
      <c r="AH3" s="193"/>
      <c r="AI3" s="193"/>
    </row>
    <row r="4" spans="1:35" s="72" customFormat="1" ht="10.15" x14ac:dyDescent="0.2">
      <c r="A4" s="199" t="s">
        <v>67</v>
      </c>
      <c r="B4" s="199" t="s">
        <v>68</v>
      </c>
      <c r="C4" s="200" t="s">
        <v>144</v>
      </c>
      <c r="D4" s="199" t="s">
        <v>147</v>
      </c>
      <c r="E4" s="200" t="s">
        <v>146</v>
      </c>
      <c r="F4" s="200" t="s">
        <v>145</v>
      </c>
      <c r="G4" s="201"/>
      <c r="H4" s="202" t="s">
        <v>303</v>
      </c>
      <c r="I4" s="202" t="s">
        <v>298</v>
      </c>
      <c r="J4" s="202" t="s">
        <v>297</v>
      </c>
      <c r="K4" s="202" t="s">
        <v>114</v>
      </c>
      <c r="L4" s="202" t="s">
        <v>299</v>
      </c>
      <c r="M4" s="202" t="s">
        <v>296</v>
      </c>
      <c r="N4" s="202" t="s">
        <v>302</v>
      </c>
      <c r="O4" s="203"/>
      <c r="P4" s="199" t="s">
        <v>67</v>
      </c>
      <c r="Q4" s="199" t="s">
        <v>68</v>
      </c>
      <c r="R4" s="200" t="s">
        <v>144</v>
      </c>
      <c r="S4" s="199" t="s">
        <v>147</v>
      </c>
      <c r="T4" s="200" t="s">
        <v>146</v>
      </c>
      <c r="U4" s="200" t="s">
        <v>145</v>
      </c>
      <c r="V4" s="204"/>
      <c r="W4" s="199" t="s">
        <v>67</v>
      </c>
      <c r="X4" s="199" t="s">
        <v>68</v>
      </c>
      <c r="Y4" s="200" t="s">
        <v>144</v>
      </c>
      <c r="Z4" s="199" t="s">
        <v>147</v>
      </c>
      <c r="AA4" s="200" t="s">
        <v>146</v>
      </c>
      <c r="AB4" s="200" t="s">
        <v>145</v>
      </c>
      <c r="AC4" s="204"/>
      <c r="AD4" s="199" t="s">
        <v>67</v>
      </c>
      <c r="AE4" s="199" t="s">
        <v>68</v>
      </c>
      <c r="AF4" s="200" t="s">
        <v>144</v>
      </c>
      <c r="AG4" s="199" t="s">
        <v>147</v>
      </c>
      <c r="AH4" s="200" t="s">
        <v>146</v>
      </c>
      <c r="AI4" s="200" t="s">
        <v>145</v>
      </c>
    </row>
    <row r="5" spans="1:35" s="29" customFormat="1" ht="10.15" x14ac:dyDescent="0.2">
      <c r="A5" s="205" t="s">
        <v>1</v>
      </c>
      <c r="B5" s="206" t="s">
        <v>71</v>
      </c>
      <c r="C5" s="207">
        <v>36.22</v>
      </c>
      <c r="D5" s="206">
        <v>1</v>
      </c>
      <c r="E5" s="206">
        <f>C5*D5</f>
        <v>36.22</v>
      </c>
      <c r="F5" s="206"/>
      <c r="G5" s="208"/>
      <c r="H5" s="209"/>
      <c r="I5" s="209">
        <f>E5</f>
        <v>36.22</v>
      </c>
      <c r="J5" s="209"/>
      <c r="K5" s="209"/>
      <c r="L5" s="209"/>
      <c r="M5" s="209"/>
      <c r="N5" s="209"/>
      <c r="O5" s="27"/>
      <c r="P5" s="205" t="s">
        <v>72</v>
      </c>
      <c r="Q5" s="206" t="s">
        <v>73</v>
      </c>
      <c r="R5" s="207">
        <v>21.18</v>
      </c>
      <c r="S5" s="206">
        <v>2</v>
      </c>
      <c r="T5" s="207">
        <f>R5*S5</f>
        <v>42.36</v>
      </c>
      <c r="U5" s="207"/>
      <c r="V5" s="208"/>
      <c r="W5" s="205" t="s">
        <v>20</v>
      </c>
      <c r="X5" s="206" t="s">
        <v>74</v>
      </c>
      <c r="Y5" s="207">
        <f>R8</f>
        <v>4.5599999999999996</v>
      </c>
      <c r="Z5" s="206">
        <v>16</v>
      </c>
      <c r="AA5" s="207">
        <f t="shared" ref="AA5:AA12" si="0">Y5*Z5</f>
        <v>72.959999999999994</v>
      </c>
      <c r="AB5" s="207"/>
      <c r="AC5" s="27"/>
      <c r="AD5" s="205" t="s">
        <v>75</v>
      </c>
      <c r="AE5" s="206" t="s">
        <v>73</v>
      </c>
      <c r="AF5" s="207">
        <f>R5</f>
        <v>21.18</v>
      </c>
      <c r="AG5" s="206">
        <v>2</v>
      </c>
      <c r="AH5" s="207">
        <f t="shared" ref="AH5" si="1">AF5*AG5</f>
        <v>42.36</v>
      </c>
      <c r="AI5" s="207"/>
    </row>
    <row r="6" spans="1:35" s="29" customFormat="1" ht="10.15" x14ac:dyDescent="0.2">
      <c r="A6" s="205" t="s">
        <v>2</v>
      </c>
      <c r="B6" s="206" t="s">
        <v>71</v>
      </c>
      <c r="C6" s="207">
        <v>33.549999999999997</v>
      </c>
      <c r="D6" s="206">
        <v>1</v>
      </c>
      <c r="E6" s="206">
        <f t="shared" ref="E6:E44" si="2">C6*D6</f>
        <v>33.549999999999997</v>
      </c>
      <c r="F6" s="206"/>
      <c r="G6" s="208"/>
      <c r="H6" s="209"/>
      <c r="I6" s="209"/>
      <c r="J6" s="209">
        <f>E6</f>
        <v>33.549999999999997</v>
      </c>
      <c r="K6" s="209"/>
      <c r="L6" s="209"/>
      <c r="M6" s="209"/>
      <c r="N6" s="209"/>
      <c r="O6" s="27"/>
      <c r="P6" s="205" t="s">
        <v>76</v>
      </c>
      <c r="Q6" s="206" t="s">
        <v>74</v>
      </c>
      <c r="R6" s="207">
        <v>8.1</v>
      </c>
      <c r="S6" s="206">
        <v>7</v>
      </c>
      <c r="T6" s="207">
        <f t="shared" ref="T6:T19" si="3">R6*S6</f>
        <v>56.699999999999996</v>
      </c>
      <c r="U6" s="207"/>
      <c r="W6" s="205" t="s">
        <v>21</v>
      </c>
      <c r="X6" s="206" t="s">
        <v>77</v>
      </c>
      <c r="Y6" s="207">
        <f>R9</f>
        <v>1.51</v>
      </c>
      <c r="Z6" s="206">
        <v>16</v>
      </c>
      <c r="AA6" s="207">
        <f t="shared" si="0"/>
        <v>24.16</v>
      </c>
      <c r="AB6" s="207"/>
      <c r="AD6" s="205" t="s">
        <v>78</v>
      </c>
      <c r="AE6" s="206" t="s">
        <v>71</v>
      </c>
      <c r="AF6" s="207">
        <v>7.86</v>
      </c>
      <c r="AG6" s="206">
        <v>1</v>
      </c>
      <c r="AH6" s="210"/>
      <c r="AI6" s="207">
        <f>AF6*AG6</f>
        <v>7.86</v>
      </c>
    </row>
    <row r="7" spans="1:35" s="29" customFormat="1" ht="10.15" x14ac:dyDescent="0.2">
      <c r="A7" s="205" t="s">
        <v>3</v>
      </c>
      <c r="B7" s="206" t="s">
        <v>79</v>
      </c>
      <c r="C7" s="207">
        <v>6.1</v>
      </c>
      <c r="D7" s="206">
        <v>2</v>
      </c>
      <c r="E7" s="206">
        <f t="shared" si="2"/>
        <v>12.2</v>
      </c>
      <c r="F7" s="206"/>
      <c r="G7" s="208"/>
      <c r="H7" s="209"/>
      <c r="I7" s="209">
        <f>C7</f>
        <v>6.1</v>
      </c>
      <c r="J7" s="209">
        <f t="shared" ref="J7:J12" si="4">I7</f>
        <v>6.1</v>
      </c>
      <c r="K7" s="209"/>
      <c r="L7" s="209"/>
      <c r="M7" s="209"/>
      <c r="N7" s="209"/>
      <c r="O7" s="27"/>
      <c r="P7" s="205" t="s">
        <v>80</v>
      </c>
      <c r="Q7" s="206" t="s">
        <v>81</v>
      </c>
      <c r="R7" s="207">
        <v>14.76</v>
      </c>
      <c r="S7" s="206">
        <v>7</v>
      </c>
      <c r="T7" s="207">
        <f t="shared" si="3"/>
        <v>103.32</v>
      </c>
      <c r="U7" s="207"/>
      <c r="W7" s="205" t="s">
        <v>22</v>
      </c>
      <c r="X7" s="206" t="s">
        <v>77</v>
      </c>
      <c r="Y7" s="207">
        <f>R10</f>
        <v>1.6</v>
      </c>
      <c r="Z7" s="206">
        <v>16</v>
      </c>
      <c r="AA7" s="207">
        <f t="shared" si="0"/>
        <v>25.6</v>
      </c>
      <c r="AB7" s="207"/>
      <c r="AD7" s="205" t="s">
        <v>82</v>
      </c>
      <c r="AE7" s="206" t="s">
        <v>71</v>
      </c>
      <c r="AF7" s="207">
        <v>4.33</v>
      </c>
      <c r="AG7" s="206">
        <v>1</v>
      </c>
      <c r="AI7" s="207">
        <f>AF7*AG7</f>
        <v>4.33</v>
      </c>
    </row>
    <row r="8" spans="1:35" s="29" customFormat="1" ht="22.5" x14ac:dyDescent="0.2">
      <c r="A8" s="205" t="s">
        <v>4</v>
      </c>
      <c r="B8" s="206" t="s">
        <v>83</v>
      </c>
      <c r="C8" s="207">
        <v>4.4400000000000004</v>
      </c>
      <c r="D8" s="206">
        <v>2</v>
      </c>
      <c r="E8" s="206">
        <f t="shared" si="2"/>
        <v>8.8800000000000008</v>
      </c>
      <c r="F8" s="206"/>
      <c r="G8" s="208"/>
      <c r="H8" s="209"/>
      <c r="I8" s="209">
        <f>C8</f>
        <v>4.4400000000000004</v>
      </c>
      <c r="J8" s="209">
        <f t="shared" si="4"/>
        <v>4.4400000000000004</v>
      </c>
      <c r="K8" s="209"/>
      <c r="L8" s="209"/>
      <c r="M8" s="209"/>
      <c r="N8" s="209"/>
      <c r="O8" s="27"/>
      <c r="P8" s="205" t="s">
        <v>84</v>
      </c>
      <c r="Q8" s="206" t="s">
        <v>74</v>
      </c>
      <c r="R8" s="207">
        <v>4.5599999999999996</v>
      </c>
      <c r="S8" s="206">
        <v>14</v>
      </c>
      <c r="T8" s="207">
        <f t="shared" si="3"/>
        <v>63.839999999999996</v>
      </c>
      <c r="U8" s="207"/>
      <c r="W8" s="205" t="s">
        <v>85</v>
      </c>
      <c r="X8" s="206" t="s">
        <v>86</v>
      </c>
      <c r="Y8" s="207">
        <f>R11</f>
        <v>14.76</v>
      </c>
      <c r="Z8" s="206">
        <v>16</v>
      </c>
      <c r="AA8" s="207">
        <f t="shared" si="0"/>
        <v>236.16</v>
      </c>
      <c r="AB8" s="207"/>
      <c r="AD8" s="205" t="s">
        <v>87</v>
      </c>
      <c r="AE8" s="206" t="s">
        <v>152</v>
      </c>
      <c r="AF8" s="207">
        <v>228.8</v>
      </c>
      <c r="AG8" s="206">
        <v>1</v>
      </c>
      <c r="AH8" s="207"/>
      <c r="AI8" s="207">
        <f>AF8*AG8</f>
        <v>228.8</v>
      </c>
    </row>
    <row r="9" spans="1:35" s="29" customFormat="1" ht="10.15" x14ac:dyDescent="0.2">
      <c r="A9" s="205" t="s">
        <v>89</v>
      </c>
      <c r="B9" s="206" t="s">
        <v>90</v>
      </c>
      <c r="C9" s="207">
        <v>4.0810000000000004</v>
      </c>
      <c r="D9" s="206">
        <v>10</v>
      </c>
      <c r="E9" s="206">
        <f t="shared" si="2"/>
        <v>40.81</v>
      </c>
      <c r="F9" s="206"/>
      <c r="G9" s="208"/>
      <c r="H9" s="209"/>
      <c r="I9" s="209">
        <f>E9/2</f>
        <v>20.405000000000001</v>
      </c>
      <c r="J9" s="209">
        <f t="shared" si="4"/>
        <v>20.405000000000001</v>
      </c>
      <c r="K9" s="209"/>
      <c r="L9" s="209"/>
      <c r="M9" s="209"/>
      <c r="N9" s="209"/>
      <c r="O9" s="27"/>
      <c r="P9" s="205" t="s">
        <v>91</v>
      </c>
      <c r="Q9" s="206" t="s">
        <v>77</v>
      </c>
      <c r="R9" s="207">
        <v>1.51</v>
      </c>
      <c r="S9" s="206">
        <v>14</v>
      </c>
      <c r="T9" s="207">
        <f t="shared" si="3"/>
        <v>21.14</v>
      </c>
      <c r="U9" s="207"/>
      <c r="W9" s="205" t="s">
        <v>23</v>
      </c>
      <c r="X9" s="206" t="s">
        <v>151</v>
      </c>
      <c r="Y9" s="207">
        <v>23.34</v>
      </c>
      <c r="Z9" s="206">
        <v>1</v>
      </c>
      <c r="AA9" s="207">
        <f t="shared" si="0"/>
        <v>23.34</v>
      </c>
      <c r="AB9" s="207"/>
      <c r="AD9" s="72"/>
      <c r="AE9" s="72" t="s">
        <v>48</v>
      </c>
      <c r="AF9" s="211">
        <f>SUM(AH9:AI9)</f>
        <v>283.35000000000002</v>
      </c>
      <c r="AG9" s="72"/>
      <c r="AH9" s="211">
        <f>SUM(AH5:AH8)</f>
        <v>42.36</v>
      </c>
      <c r="AI9" s="211">
        <f>SUM(AI5:AI8)</f>
        <v>240.99</v>
      </c>
    </row>
    <row r="10" spans="1:35" s="29" customFormat="1" ht="10.15" x14ac:dyDescent="0.2">
      <c r="A10" s="205" t="s">
        <v>92</v>
      </c>
      <c r="B10" s="206" t="s">
        <v>90</v>
      </c>
      <c r="C10" s="207">
        <v>6.39</v>
      </c>
      <c r="D10" s="206">
        <v>2</v>
      </c>
      <c r="E10" s="206">
        <f t="shared" si="2"/>
        <v>12.78</v>
      </c>
      <c r="F10" s="206"/>
      <c r="G10" s="208"/>
      <c r="H10" s="209"/>
      <c r="I10" s="209">
        <f>E10/2</f>
        <v>6.39</v>
      </c>
      <c r="J10" s="209">
        <f t="shared" si="4"/>
        <v>6.39</v>
      </c>
      <c r="K10" s="209"/>
      <c r="L10" s="209"/>
      <c r="M10" s="209"/>
      <c r="N10" s="209"/>
      <c r="O10" s="27"/>
      <c r="P10" s="205" t="s">
        <v>93</v>
      </c>
      <c r="Q10" s="206" t="s">
        <v>77</v>
      </c>
      <c r="R10" s="207">
        <v>1.6</v>
      </c>
      <c r="S10" s="206">
        <v>14</v>
      </c>
      <c r="T10" s="207">
        <f t="shared" si="3"/>
        <v>22.400000000000002</v>
      </c>
      <c r="U10" s="207"/>
      <c r="W10" s="205" t="s">
        <v>94</v>
      </c>
      <c r="X10" s="206" t="s">
        <v>73</v>
      </c>
      <c r="Y10" s="207">
        <f>R5</f>
        <v>21.18</v>
      </c>
      <c r="Z10" s="206">
        <v>2</v>
      </c>
      <c r="AA10" s="207">
        <f t="shared" si="0"/>
        <v>42.36</v>
      </c>
      <c r="AB10" s="207"/>
      <c r="AD10" s="72"/>
      <c r="AF10" s="212"/>
      <c r="AH10" s="212"/>
      <c r="AI10" s="212"/>
    </row>
    <row r="11" spans="1:35" s="29" customFormat="1" ht="10.15" x14ac:dyDescent="0.2">
      <c r="A11" s="205" t="s">
        <v>95</v>
      </c>
      <c r="B11" s="206" t="s">
        <v>96</v>
      </c>
      <c r="C11" s="207">
        <f>124.15/D11</f>
        <v>62.075000000000003</v>
      </c>
      <c r="D11" s="206">
        <v>2</v>
      </c>
      <c r="E11" s="206">
        <f t="shared" si="2"/>
        <v>124.15</v>
      </c>
      <c r="F11" s="206"/>
      <c r="G11" s="208"/>
      <c r="H11" s="209"/>
      <c r="I11" s="209">
        <f>C11</f>
        <v>62.075000000000003</v>
      </c>
      <c r="J11" s="209">
        <f t="shared" si="4"/>
        <v>62.075000000000003</v>
      </c>
      <c r="K11" s="209"/>
      <c r="L11" s="209"/>
      <c r="M11" s="209"/>
      <c r="N11" s="209"/>
      <c r="O11" s="27"/>
      <c r="P11" s="205" t="s">
        <v>97</v>
      </c>
      <c r="Q11" s="206" t="s">
        <v>86</v>
      </c>
      <c r="R11" s="207">
        <v>14.76</v>
      </c>
      <c r="S11" s="206">
        <v>8</v>
      </c>
      <c r="T11" s="207">
        <f t="shared" si="3"/>
        <v>118.08</v>
      </c>
      <c r="U11" s="207"/>
      <c r="W11" s="205" t="s">
        <v>24</v>
      </c>
      <c r="X11" s="206" t="s">
        <v>74</v>
      </c>
      <c r="Y11" s="207">
        <f>R6</f>
        <v>8.1</v>
      </c>
      <c r="Z11" s="206">
        <v>8</v>
      </c>
      <c r="AA11" s="207">
        <f t="shared" si="0"/>
        <v>64.8</v>
      </c>
      <c r="AB11" s="207"/>
      <c r="AD11" s="72"/>
      <c r="AF11" s="212"/>
      <c r="AH11" s="212"/>
      <c r="AI11" s="212"/>
    </row>
    <row r="12" spans="1:35" s="29" customFormat="1" ht="10.15" x14ac:dyDescent="0.2">
      <c r="A12" s="205" t="s">
        <v>98</v>
      </c>
      <c r="B12" s="206" t="s">
        <v>71</v>
      </c>
      <c r="C12" s="207">
        <v>11.85</v>
      </c>
      <c r="D12" s="206">
        <v>1</v>
      </c>
      <c r="E12" s="206">
        <f t="shared" si="2"/>
        <v>11.85</v>
      </c>
      <c r="F12" s="206"/>
      <c r="G12" s="208"/>
      <c r="H12" s="209"/>
      <c r="I12" s="209">
        <f>E12/2</f>
        <v>5.9249999999999998</v>
      </c>
      <c r="J12" s="209">
        <f t="shared" si="4"/>
        <v>5.9249999999999998</v>
      </c>
      <c r="K12" s="209"/>
      <c r="L12" s="209"/>
      <c r="M12" s="209"/>
      <c r="N12" s="209"/>
      <c r="O12" s="27"/>
      <c r="P12" s="205" t="s">
        <v>99</v>
      </c>
      <c r="Q12" s="206" t="s">
        <v>86</v>
      </c>
      <c r="R12" s="207">
        <f>7.18</f>
        <v>7.18</v>
      </c>
      <c r="S12" s="206">
        <v>12</v>
      </c>
      <c r="T12" s="207">
        <f t="shared" si="3"/>
        <v>86.16</v>
      </c>
      <c r="U12" s="207"/>
      <c r="W12" s="205" t="s">
        <v>25</v>
      </c>
      <c r="X12" s="206" t="s">
        <v>81</v>
      </c>
      <c r="Y12" s="207">
        <f>R7</f>
        <v>14.76</v>
      </c>
      <c r="Z12" s="206">
        <v>8</v>
      </c>
      <c r="AA12" s="207">
        <f t="shared" si="0"/>
        <v>118.08</v>
      </c>
      <c r="AB12" s="207"/>
      <c r="AD12" s="72"/>
      <c r="AF12" s="212"/>
      <c r="AH12" s="212"/>
      <c r="AI12" s="212"/>
    </row>
    <row r="13" spans="1:35" s="29" customFormat="1" ht="22.5" x14ac:dyDescent="0.2">
      <c r="A13" s="205" t="s">
        <v>100</v>
      </c>
      <c r="B13" s="206" t="s">
        <v>153</v>
      </c>
      <c r="C13" s="207">
        <v>4.33</v>
      </c>
      <c r="D13" s="206">
        <v>1</v>
      </c>
      <c r="E13" s="206">
        <f t="shared" si="2"/>
        <v>4.33</v>
      </c>
      <c r="F13" s="206"/>
      <c r="G13" s="208"/>
      <c r="H13" s="209"/>
      <c r="I13" s="209">
        <f>E13</f>
        <v>4.33</v>
      </c>
      <c r="J13" s="209"/>
      <c r="K13" s="209"/>
      <c r="L13" s="209"/>
      <c r="M13" s="209"/>
      <c r="N13" s="209"/>
      <c r="O13" s="27"/>
      <c r="P13" s="205" t="s">
        <v>101</v>
      </c>
      <c r="Q13" s="206" t="s">
        <v>74</v>
      </c>
      <c r="R13" s="207">
        <v>4.3899999999999997</v>
      </c>
      <c r="S13" s="206">
        <v>2</v>
      </c>
      <c r="T13" s="207">
        <f t="shared" si="3"/>
        <v>8.7799999999999994</v>
      </c>
      <c r="U13" s="207"/>
      <c r="W13" s="205" t="s">
        <v>26</v>
      </c>
      <c r="X13" s="206" t="s">
        <v>71</v>
      </c>
      <c r="Y13" s="207">
        <v>40.799999999999997</v>
      </c>
      <c r="Z13" s="206">
        <v>1</v>
      </c>
      <c r="AA13" s="207"/>
      <c r="AB13" s="207">
        <f>Y13*Z13</f>
        <v>40.799999999999997</v>
      </c>
      <c r="AD13" s="72"/>
      <c r="AF13" s="212"/>
      <c r="AH13" s="212"/>
      <c r="AI13" s="212"/>
    </row>
    <row r="14" spans="1:35" s="29" customFormat="1" ht="22.5" x14ac:dyDescent="0.2">
      <c r="A14" s="205" t="s">
        <v>102</v>
      </c>
      <c r="B14" s="206" t="s">
        <v>153</v>
      </c>
      <c r="C14" s="207">
        <v>3.25</v>
      </c>
      <c r="D14" s="206">
        <v>1</v>
      </c>
      <c r="E14" s="206">
        <f t="shared" si="2"/>
        <v>3.25</v>
      </c>
      <c r="F14" s="206"/>
      <c r="G14" s="208"/>
      <c r="H14" s="209"/>
      <c r="I14" s="209"/>
      <c r="J14" s="209">
        <f>E14</f>
        <v>3.25</v>
      </c>
      <c r="K14" s="209"/>
      <c r="L14" s="209"/>
      <c r="M14" s="209"/>
      <c r="N14" s="209"/>
      <c r="O14" s="27"/>
      <c r="P14" s="205" t="s">
        <v>103</v>
      </c>
      <c r="Q14" s="206" t="s">
        <v>86</v>
      </c>
      <c r="R14" s="207">
        <v>13.79</v>
      </c>
      <c r="S14" s="206">
        <v>2</v>
      </c>
      <c r="T14" s="207">
        <f t="shared" si="3"/>
        <v>27.58</v>
      </c>
      <c r="U14" s="207"/>
      <c r="W14" s="205" t="s">
        <v>27</v>
      </c>
      <c r="X14" s="206" t="s">
        <v>71</v>
      </c>
      <c r="Y14" s="207">
        <v>38.89</v>
      </c>
      <c r="Z14" s="206">
        <v>1</v>
      </c>
      <c r="AA14" s="207"/>
      <c r="AB14" s="207">
        <f>Y14*Z14</f>
        <v>38.89</v>
      </c>
      <c r="AD14" s="72"/>
      <c r="AF14" s="212"/>
      <c r="AH14" s="212"/>
      <c r="AI14" s="212"/>
    </row>
    <row r="15" spans="1:35" s="29" customFormat="1" ht="22.5" x14ac:dyDescent="0.2">
      <c r="A15" s="205" t="s">
        <v>104</v>
      </c>
      <c r="B15" s="206" t="s">
        <v>105</v>
      </c>
      <c r="C15" s="207">
        <v>9.16</v>
      </c>
      <c r="D15" s="206">
        <v>1</v>
      </c>
      <c r="E15" s="206">
        <f t="shared" si="2"/>
        <v>9.16</v>
      </c>
      <c r="F15" s="206"/>
      <c r="G15" s="208"/>
      <c r="H15" s="209"/>
      <c r="I15" s="209">
        <f>E15</f>
        <v>9.16</v>
      </c>
      <c r="J15" s="209"/>
      <c r="K15" s="209"/>
      <c r="L15" s="209"/>
      <c r="M15" s="209"/>
      <c r="N15" s="209"/>
      <c r="O15" s="27"/>
      <c r="P15" s="205" t="s">
        <v>106</v>
      </c>
      <c r="Q15" s="206" t="s">
        <v>77</v>
      </c>
      <c r="R15" s="207">
        <v>4.57</v>
      </c>
      <c r="S15" s="206">
        <v>2</v>
      </c>
      <c r="T15" s="207">
        <f t="shared" si="3"/>
        <v>9.14</v>
      </c>
      <c r="U15" s="207"/>
      <c r="W15" s="205" t="s">
        <v>107</v>
      </c>
      <c r="X15" s="206" t="s">
        <v>71</v>
      </c>
      <c r="Y15" s="207">
        <v>39.08</v>
      </c>
      <c r="Z15" s="206">
        <v>1</v>
      </c>
      <c r="AA15" s="207"/>
      <c r="AB15" s="207">
        <f>Y15*Z15</f>
        <v>39.08</v>
      </c>
      <c r="AD15" s="72"/>
      <c r="AF15" s="212"/>
      <c r="AH15" s="212"/>
      <c r="AI15" s="212"/>
    </row>
    <row r="16" spans="1:35" s="29" customFormat="1" ht="22.5" x14ac:dyDescent="0.2">
      <c r="A16" s="205" t="s">
        <v>108</v>
      </c>
      <c r="B16" s="206" t="s">
        <v>109</v>
      </c>
      <c r="C16" s="207">
        <v>9.16</v>
      </c>
      <c r="D16" s="206">
        <v>1</v>
      </c>
      <c r="E16" s="206">
        <f t="shared" si="2"/>
        <v>9.16</v>
      </c>
      <c r="F16" s="206"/>
      <c r="G16" s="208"/>
      <c r="H16" s="209"/>
      <c r="I16" s="209"/>
      <c r="J16" s="209">
        <f>E16</f>
        <v>9.16</v>
      </c>
      <c r="K16" s="209"/>
      <c r="L16" s="209"/>
      <c r="M16" s="209"/>
      <c r="N16" s="209"/>
      <c r="O16" s="27"/>
      <c r="P16" s="205" t="s">
        <v>110</v>
      </c>
      <c r="Q16" s="206" t="s">
        <v>74</v>
      </c>
      <c r="R16" s="207">
        <v>4.07</v>
      </c>
      <c r="S16" s="206">
        <v>2</v>
      </c>
      <c r="T16" s="207">
        <f t="shared" si="3"/>
        <v>8.14</v>
      </c>
      <c r="U16" s="207"/>
      <c r="W16" s="205" t="s">
        <v>148</v>
      </c>
      <c r="X16" s="206" t="s">
        <v>71</v>
      </c>
      <c r="Y16" s="207">
        <v>40.78</v>
      </c>
      <c r="Z16" s="206">
        <v>1</v>
      </c>
      <c r="AA16" s="207"/>
      <c r="AB16" s="207">
        <f>Y16*Z16</f>
        <v>40.78</v>
      </c>
      <c r="AD16" s="72"/>
      <c r="AF16" s="212"/>
      <c r="AH16" s="212"/>
      <c r="AI16" s="212"/>
    </row>
    <row r="17" spans="1:35" s="29" customFormat="1" ht="22.5" x14ac:dyDescent="0.2">
      <c r="A17" s="205" t="s">
        <v>111</v>
      </c>
      <c r="B17" s="206" t="s">
        <v>71</v>
      </c>
      <c r="C17" s="207">
        <v>17.23</v>
      </c>
      <c r="D17" s="206">
        <v>1</v>
      </c>
      <c r="E17" s="206">
        <f t="shared" si="2"/>
        <v>17.23</v>
      </c>
      <c r="F17" s="206"/>
      <c r="G17" s="208"/>
      <c r="H17" s="209"/>
      <c r="I17" s="209"/>
      <c r="J17" s="209"/>
      <c r="K17" s="209">
        <f>E17</f>
        <v>17.23</v>
      </c>
      <c r="L17" s="209"/>
      <c r="M17" s="209"/>
      <c r="N17" s="209"/>
      <c r="O17" s="27"/>
      <c r="P17" s="205" t="s">
        <v>112</v>
      </c>
      <c r="Q17" s="206" t="s">
        <v>77</v>
      </c>
      <c r="R17" s="207">
        <v>1.77</v>
      </c>
      <c r="S17" s="206">
        <v>2</v>
      </c>
      <c r="T17" s="207">
        <f t="shared" si="3"/>
        <v>3.54</v>
      </c>
      <c r="U17" s="207"/>
      <c r="W17" s="205" t="s">
        <v>149</v>
      </c>
      <c r="X17" s="206" t="s">
        <v>150</v>
      </c>
      <c r="Y17" s="207">
        <f>R24</f>
        <v>2.68</v>
      </c>
      <c r="Z17" s="206">
        <v>25</v>
      </c>
      <c r="AA17" s="207"/>
      <c r="AB17" s="207">
        <f>Y17*Z17</f>
        <v>67</v>
      </c>
      <c r="AD17" s="72"/>
      <c r="AF17" s="212"/>
      <c r="AH17" s="212"/>
      <c r="AI17" s="212"/>
    </row>
    <row r="18" spans="1:35" s="29" customFormat="1" ht="22.5" x14ac:dyDescent="0.2">
      <c r="A18" s="205" t="s">
        <v>113</v>
      </c>
      <c r="B18" s="206" t="s">
        <v>114</v>
      </c>
      <c r="C18" s="207">
        <v>8.31</v>
      </c>
      <c r="D18" s="206">
        <v>1</v>
      </c>
      <c r="E18" s="206">
        <f t="shared" si="2"/>
        <v>8.31</v>
      </c>
      <c r="F18" s="206"/>
      <c r="G18" s="208"/>
      <c r="H18" s="209"/>
      <c r="I18" s="209"/>
      <c r="J18" s="209"/>
      <c r="K18" s="209">
        <f>E18</f>
        <v>8.31</v>
      </c>
      <c r="L18" s="209"/>
      <c r="M18" s="209"/>
      <c r="N18" s="209"/>
      <c r="O18" s="27"/>
      <c r="P18" s="205" t="s">
        <v>115</v>
      </c>
      <c r="Q18" s="206" t="s">
        <v>77</v>
      </c>
      <c r="R18" s="207">
        <v>1.86</v>
      </c>
      <c r="S18" s="206">
        <v>2</v>
      </c>
      <c r="T18" s="207">
        <f t="shared" si="3"/>
        <v>3.72</v>
      </c>
      <c r="U18" s="207"/>
      <c r="W18" s="72"/>
      <c r="X18" s="72" t="s">
        <v>48</v>
      </c>
      <c r="Y18" s="211">
        <f>SUM(AA18:AB18)</f>
        <v>834.01</v>
      </c>
      <c r="Z18" s="72"/>
      <c r="AA18" s="211">
        <f>SUM(AA5:AA17)</f>
        <v>607.46</v>
      </c>
      <c r="AB18" s="211">
        <f>SUM(AB13:AB17)</f>
        <v>226.55</v>
      </c>
      <c r="AD18" s="72"/>
      <c r="AF18" s="212"/>
      <c r="AH18" s="212"/>
      <c r="AI18" s="212"/>
    </row>
    <row r="19" spans="1:35" s="29" customFormat="1" ht="22.5" x14ac:dyDescent="0.2">
      <c r="A19" s="205" t="s">
        <v>113</v>
      </c>
      <c r="B19" s="206" t="s">
        <v>116</v>
      </c>
      <c r="C19" s="207">
        <v>10.3</v>
      </c>
      <c r="D19" s="206">
        <v>1</v>
      </c>
      <c r="E19" s="206">
        <f t="shared" si="2"/>
        <v>10.3</v>
      </c>
      <c r="F19" s="206"/>
      <c r="G19" s="208"/>
      <c r="H19" s="209"/>
      <c r="I19" s="209"/>
      <c r="J19" s="209">
        <f>E19</f>
        <v>10.3</v>
      </c>
      <c r="K19" s="209"/>
      <c r="L19" s="209"/>
      <c r="M19" s="209"/>
      <c r="N19" s="209"/>
      <c r="O19" s="27"/>
      <c r="P19" s="205" t="s">
        <v>117</v>
      </c>
      <c r="Q19" s="206" t="s">
        <v>86</v>
      </c>
      <c r="R19" s="207">
        <v>7.18</v>
      </c>
      <c r="S19" s="206">
        <v>4</v>
      </c>
      <c r="T19" s="207">
        <f t="shared" si="3"/>
        <v>28.72</v>
      </c>
      <c r="U19" s="207"/>
      <c r="W19" s="213"/>
      <c r="X19" s="208"/>
      <c r="Y19" s="214"/>
      <c r="Z19" s="208"/>
      <c r="AA19" s="214"/>
      <c r="AB19" s="214"/>
      <c r="AD19" s="72"/>
      <c r="AF19" s="212"/>
      <c r="AH19" s="212"/>
      <c r="AI19" s="212"/>
    </row>
    <row r="20" spans="1:35" s="29" customFormat="1" ht="22.5" x14ac:dyDescent="0.2">
      <c r="A20" s="205" t="s">
        <v>118</v>
      </c>
      <c r="B20" s="206" t="s">
        <v>119</v>
      </c>
      <c r="C20" s="207">
        <v>15.07</v>
      </c>
      <c r="D20" s="206">
        <v>1</v>
      </c>
      <c r="E20" s="206">
        <f t="shared" si="2"/>
        <v>15.07</v>
      </c>
      <c r="F20" s="206"/>
      <c r="G20" s="208"/>
      <c r="H20" s="209"/>
      <c r="I20" s="209"/>
      <c r="J20" s="209"/>
      <c r="K20" s="209">
        <f>E20</f>
        <v>15.07</v>
      </c>
      <c r="L20" s="209"/>
      <c r="M20" s="209"/>
      <c r="N20" s="209"/>
      <c r="O20" s="27"/>
      <c r="P20" s="205" t="s">
        <v>120</v>
      </c>
      <c r="Q20" s="206" t="s">
        <v>71</v>
      </c>
      <c r="R20" s="207">
        <v>46.16</v>
      </c>
      <c r="S20" s="206">
        <v>1</v>
      </c>
      <c r="T20" s="207"/>
      <c r="U20" s="207">
        <f>R20*S20</f>
        <v>46.16</v>
      </c>
      <c r="W20" s="213"/>
      <c r="X20" s="208"/>
      <c r="Y20" s="214"/>
      <c r="Z20" s="208"/>
      <c r="AA20" s="214"/>
      <c r="AB20" s="214"/>
      <c r="AD20" s="72"/>
      <c r="AF20" s="212"/>
      <c r="AH20" s="212"/>
      <c r="AI20" s="212"/>
    </row>
    <row r="21" spans="1:35" s="29" customFormat="1" ht="22.5" x14ac:dyDescent="0.2">
      <c r="A21" s="205" t="s">
        <v>121</v>
      </c>
      <c r="B21" s="206" t="s">
        <v>71</v>
      </c>
      <c r="C21" s="207">
        <v>8.52</v>
      </c>
      <c r="D21" s="206">
        <v>2</v>
      </c>
      <c r="E21" s="206">
        <f t="shared" si="2"/>
        <v>17.04</v>
      </c>
      <c r="F21" s="206"/>
      <c r="G21" s="208"/>
      <c r="H21" s="209"/>
      <c r="I21" s="209"/>
      <c r="J21" s="209"/>
      <c r="K21" s="209">
        <f>E21</f>
        <v>17.04</v>
      </c>
      <c r="L21" s="209"/>
      <c r="M21" s="209"/>
      <c r="N21" s="209"/>
      <c r="O21" s="27"/>
      <c r="P21" s="205" t="s">
        <v>122</v>
      </c>
      <c r="Q21" s="206" t="s">
        <v>71</v>
      </c>
      <c r="R21" s="207">
        <v>42.64</v>
      </c>
      <c r="S21" s="206">
        <v>1</v>
      </c>
      <c r="T21" s="207"/>
      <c r="U21" s="207">
        <f>R21*S21</f>
        <v>42.64</v>
      </c>
      <c r="W21" s="213"/>
      <c r="X21" s="208"/>
      <c r="Y21" s="214"/>
      <c r="Z21" s="208"/>
      <c r="AA21" s="214"/>
      <c r="AB21" s="214"/>
      <c r="AD21" s="72"/>
      <c r="AF21" s="212"/>
      <c r="AH21" s="212"/>
      <c r="AI21" s="212"/>
    </row>
    <row r="22" spans="1:35" s="29" customFormat="1" ht="22.5" x14ac:dyDescent="0.2">
      <c r="A22" s="205" t="s">
        <v>123</v>
      </c>
      <c r="B22" s="206" t="s">
        <v>83</v>
      </c>
      <c r="C22" s="207">
        <v>6.59</v>
      </c>
      <c r="D22" s="206">
        <v>2</v>
      </c>
      <c r="E22" s="206">
        <f t="shared" si="2"/>
        <v>13.18</v>
      </c>
      <c r="F22" s="206"/>
      <c r="G22" s="208"/>
      <c r="H22" s="209"/>
      <c r="I22" s="209"/>
      <c r="J22" s="209"/>
      <c r="K22" s="209">
        <f t="shared" ref="K22:K23" si="5">E22</f>
        <v>13.18</v>
      </c>
      <c r="L22" s="209"/>
      <c r="M22" s="209"/>
      <c r="N22" s="209"/>
      <c r="O22" s="27"/>
      <c r="P22" s="205" t="s">
        <v>124</v>
      </c>
      <c r="Q22" s="206" t="s">
        <v>71</v>
      </c>
      <c r="R22" s="207">
        <v>39.159999999999997</v>
      </c>
      <c r="S22" s="206">
        <v>1</v>
      </c>
      <c r="T22" s="207"/>
      <c r="U22" s="207">
        <f>R22*S22</f>
        <v>39.159999999999997</v>
      </c>
      <c r="W22" s="213"/>
      <c r="X22" s="208"/>
      <c r="Y22" s="214"/>
      <c r="Z22" s="208"/>
      <c r="AA22" s="214"/>
      <c r="AB22" s="214"/>
      <c r="AD22" s="72"/>
      <c r="AF22" s="212"/>
      <c r="AH22" s="212"/>
      <c r="AI22" s="212"/>
    </row>
    <row r="23" spans="1:35" s="29" customFormat="1" ht="22.5" x14ac:dyDescent="0.2">
      <c r="A23" s="205" t="s">
        <v>125</v>
      </c>
      <c r="B23" s="206" t="s">
        <v>83</v>
      </c>
      <c r="C23" s="207">
        <v>3.83</v>
      </c>
      <c r="D23" s="206">
        <v>4</v>
      </c>
      <c r="E23" s="206">
        <f t="shared" si="2"/>
        <v>15.32</v>
      </c>
      <c r="F23" s="206"/>
      <c r="G23" s="208"/>
      <c r="H23" s="209"/>
      <c r="I23" s="209"/>
      <c r="J23" s="209"/>
      <c r="K23" s="209">
        <f t="shared" si="5"/>
        <v>15.32</v>
      </c>
      <c r="L23" s="209"/>
      <c r="M23" s="209"/>
      <c r="N23" s="209"/>
      <c r="O23" s="27"/>
      <c r="P23" s="205" t="s">
        <v>126</v>
      </c>
      <c r="Q23" s="206" t="s">
        <v>71</v>
      </c>
      <c r="R23" s="207">
        <v>45.35</v>
      </c>
      <c r="S23" s="206">
        <v>1</v>
      </c>
      <c r="T23" s="207"/>
      <c r="U23" s="207">
        <f>R23*S23</f>
        <v>45.35</v>
      </c>
      <c r="W23" s="213"/>
      <c r="X23" s="208"/>
      <c r="Y23" s="214"/>
      <c r="Z23" s="208"/>
      <c r="AA23" s="214"/>
      <c r="AB23" s="214"/>
      <c r="AD23" s="72"/>
      <c r="AF23" s="212"/>
      <c r="AH23" s="212"/>
      <c r="AI23" s="212"/>
    </row>
    <row r="24" spans="1:35" s="29" customFormat="1" ht="10.15" x14ac:dyDescent="0.2">
      <c r="A24" s="205" t="s">
        <v>5</v>
      </c>
      <c r="B24" s="206" t="s">
        <v>71</v>
      </c>
      <c r="C24" s="207">
        <v>3.81</v>
      </c>
      <c r="D24" s="206">
        <v>1</v>
      </c>
      <c r="E24" s="206">
        <f t="shared" si="2"/>
        <v>3.81</v>
      </c>
      <c r="F24" s="206"/>
      <c r="G24" s="208"/>
      <c r="H24" s="209"/>
      <c r="I24" s="209"/>
      <c r="J24" s="209"/>
      <c r="K24" s="209"/>
      <c r="L24" s="209"/>
      <c r="M24" s="209">
        <f>E24</f>
        <v>3.81</v>
      </c>
      <c r="N24" s="209"/>
      <c r="O24" s="27"/>
      <c r="P24" s="205" t="s">
        <v>142</v>
      </c>
      <c r="Q24" s="206" t="s">
        <v>143</v>
      </c>
      <c r="R24" s="207">
        <v>2.68</v>
      </c>
      <c r="S24" s="206">
        <v>25</v>
      </c>
      <c r="T24" s="207"/>
      <c r="U24" s="207">
        <f>R24*S24</f>
        <v>67</v>
      </c>
      <c r="W24" s="67"/>
      <c r="X24" s="27"/>
      <c r="Y24" s="215"/>
      <c r="Z24" s="27"/>
      <c r="AA24" s="216"/>
      <c r="AB24" s="216"/>
      <c r="AD24" s="72"/>
      <c r="AF24" s="212"/>
      <c r="AH24" s="212"/>
      <c r="AI24" s="212"/>
    </row>
    <row r="25" spans="1:35" s="29" customFormat="1" ht="10.15" x14ac:dyDescent="0.2">
      <c r="A25" s="205" t="s">
        <v>6</v>
      </c>
      <c r="B25" s="206" t="s">
        <v>127</v>
      </c>
      <c r="C25" s="207">
        <v>1.87</v>
      </c>
      <c r="D25" s="206">
        <v>1</v>
      </c>
      <c r="E25" s="206">
        <f t="shared" si="2"/>
        <v>1.87</v>
      </c>
      <c r="F25" s="206"/>
      <c r="G25" s="208"/>
      <c r="H25" s="209"/>
      <c r="I25" s="209"/>
      <c r="J25" s="209"/>
      <c r="K25" s="209"/>
      <c r="L25" s="209"/>
      <c r="M25" s="209">
        <f t="shared" ref="M25:M33" si="6">E25</f>
        <v>1.87</v>
      </c>
      <c r="N25" s="209"/>
      <c r="O25" s="27"/>
      <c r="P25" s="72"/>
      <c r="Q25" s="72" t="s">
        <v>48</v>
      </c>
      <c r="R25" s="211">
        <f>SUM(T25:U25)</f>
        <v>843.92999999999984</v>
      </c>
      <c r="S25" s="72"/>
      <c r="T25" s="211">
        <f>SUM(T5:T24)</f>
        <v>603.61999999999989</v>
      </c>
      <c r="U25" s="211">
        <f>SUM(U5:U24)</f>
        <v>240.31</v>
      </c>
      <c r="W25" s="67"/>
      <c r="X25" s="27"/>
      <c r="Y25" s="215"/>
      <c r="Z25" s="27"/>
      <c r="AA25" s="215"/>
      <c r="AB25" s="215"/>
      <c r="AD25" s="72"/>
      <c r="AF25" s="212"/>
      <c r="AH25" s="212"/>
      <c r="AI25" s="212"/>
    </row>
    <row r="26" spans="1:35" s="29" customFormat="1" ht="10.15" x14ac:dyDescent="0.2">
      <c r="A26" s="205" t="s">
        <v>8</v>
      </c>
      <c r="B26" s="206" t="s">
        <v>119</v>
      </c>
      <c r="C26" s="207">
        <v>1.76</v>
      </c>
      <c r="D26" s="206">
        <v>1</v>
      </c>
      <c r="E26" s="206">
        <f t="shared" si="2"/>
        <v>1.76</v>
      </c>
      <c r="F26" s="206"/>
      <c r="G26" s="208"/>
      <c r="H26" s="209"/>
      <c r="I26" s="209"/>
      <c r="J26" s="209"/>
      <c r="K26" s="209"/>
      <c r="L26" s="209"/>
      <c r="M26" s="209">
        <f t="shared" si="6"/>
        <v>1.76</v>
      </c>
      <c r="N26" s="209"/>
      <c r="O26" s="27"/>
      <c r="P26" s="72"/>
      <c r="R26" s="212"/>
      <c r="T26" s="212"/>
      <c r="U26" s="212"/>
      <c r="W26" s="67"/>
      <c r="X26" s="27"/>
      <c r="Y26" s="215"/>
      <c r="Z26" s="27"/>
      <c r="AA26" s="215"/>
      <c r="AB26" s="215"/>
      <c r="AD26" s="72"/>
      <c r="AF26" s="212"/>
      <c r="AH26" s="212"/>
      <c r="AI26" s="212"/>
    </row>
    <row r="27" spans="1:35" s="29" customFormat="1" ht="10.15" x14ac:dyDescent="0.2">
      <c r="A27" s="205" t="s">
        <v>9</v>
      </c>
      <c r="B27" s="206" t="s">
        <v>128</v>
      </c>
      <c r="C27" s="207">
        <v>2.77</v>
      </c>
      <c r="D27" s="206">
        <v>1</v>
      </c>
      <c r="E27" s="206">
        <f t="shared" si="2"/>
        <v>2.77</v>
      </c>
      <c r="F27" s="206"/>
      <c r="G27" s="208"/>
      <c r="H27" s="209"/>
      <c r="I27" s="209"/>
      <c r="J27" s="209"/>
      <c r="K27" s="209"/>
      <c r="L27" s="209"/>
      <c r="M27" s="209">
        <f t="shared" si="6"/>
        <v>2.77</v>
      </c>
      <c r="N27" s="209"/>
      <c r="O27" s="27"/>
      <c r="P27" s="72"/>
      <c r="R27" s="212"/>
      <c r="T27" s="212"/>
      <c r="U27" s="212"/>
      <c r="W27" s="67"/>
      <c r="X27" s="27"/>
      <c r="Y27" s="215"/>
      <c r="Z27" s="27"/>
      <c r="AA27" s="215"/>
      <c r="AB27" s="215"/>
      <c r="AD27" s="72"/>
      <c r="AF27" s="212"/>
      <c r="AH27" s="212"/>
      <c r="AI27" s="212"/>
    </row>
    <row r="28" spans="1:35" s="29" customFormat="1" ht="10.15" x14ac:dyDescent="0.2">
      <c r="A28" s="205" t="s">
        <v>10</v>
      </c>
      <c r="B28" s="206" t="s">
        <v>129</v>
      </c>
      <c r="C28" s="207">
        <v>2.77</v>
      </c>
      <c r="D28" s="206">
        <v>1</v>
      </c>
      <c r="E28" s="206">
        <f t="shared" si="2"/>
        <v>2.77</v>
      </c>
      <c r="F28" s="206"/>
      <c r="G28" s="208"/>
      <c r="H28" s="209"/>
      <c r="I28" s="209"/>
      <c r="J28" s="209"/>
      <c r="K28" s="209"/>
      <c r="L28" s="209"/>
      <c r="M28" s="209">
        <f t="shared" si="6"/>
        <v>2.77</v>
      </c>
      <c r="N28" s="209"/>
      <c r="O28" s="27"/>
      <c r="P28" s="72"/>
      <c r="R28" s="212"/>
      <c r="T28" s="212"/>
      <c r="U28" s="212"/>
      <c r="W28" s="67"/>
      <c r="X28" s="27"/>
      <c r="Y28" s="215"/>
      <c r="Z28" s="27"/>
      <c r="AA28" s="215"/>
      <c r="AB28" s="215"/>
      <c r="AD28" s="72"/>
      <c r="AF28" s="212"/>
      <c r="AH28" s="212"/>
      <c r="AI28" s="212"/>
    </row>
    <row r="29" spans="1:35" s="29" customFormat="1" ht="10.15" x14ac:dyDescent="0.2">
      <c r="A29" s="205" t="s">
        <v>11</v>
      </c>
      <c r="B29" s="206" t="s">
        <v>105</v>
      </c>
      <c r="C29" s="207">
        <v>13.91</v>
      </c>
      <c r="D29" s="206">
        <v>1</v>
      </c>
      <c r="E29" s="206">
        <f t="shared" si="2"/>
        <v>13.91</v>
      </c>
      <c r="F29" s="206"/>
      <c r="G29" s="208"/>
      <c r="H29" s="209"/>
      <c r="I29" s="209"/>
      <c r="J29" s="209"/>
      <c r="K29" s="209"/>
      <c r="L29" s="209"/>
      <c r="M29" s="209">
        <f t="shared" si="6"/>
        <v>13.91</v>
      </c>
      <c r="N29" s="209"/>
      <c r="O29" s="27"/>
      <c r="P29" s="72"/>
      <c r="R29" s="212"/>
      <c r="T29" s="212"/>
      <c r="U29" s="212"/>
      <c r="W29" s="67"/>
      <c r="X29" s="27"/>
      <c r="Y29" s="215"/>
      <c r="Z29" s="27"/>
      <c r="AA29" s="215"/>
      <c r="AB29" s="215"/>
      <c r="AD29" s="72"/>
      <c r="AF29" s="212"/>
      <c r="AH29" s="212"/>
      <c r="AI29" s="212"/>
    </row>
    <row r="30" spans="1:35" s="29" customFormat="1" ht="10.15" x14ac:dyDescent="0.2">
      <c r="A30" s="205" t="s">
        <v>12</v>
      </c>
      <c r="B30" s="206" t="s">
        <v>19</v>
      </c>
      <c r="C30" s="207">
        <v>97.71</v>
      </c>
      <c r="D30" s="206">
        <v>1</v>
      </c>
      <c r="E30" s="206">
        <f t="shared" si="2"/>
        <v>97.71</v>
      </c>
      <c r="F30" s="206"/>
      <c r="G30" s="208"/>
      <c r="H30" s="209"/>
      <c r="I30" s="209"/>
      <c r="J30" s="209"/>
      <c r="K30" s="209"/>
      <c r="L30" s="209"/>
      <c r="M30" s="209">
        <f t="shared" si="6"/>
        <v>97.71</v>
      </c>
      <c r="N30" s="209"/>
      <c r="O30" s="27"/>
      <c r="P30" s="72"/>
      <c r="R30" s="212"/>
      <c r="T30" s="212"/>
      <c r="U30" s="212"/>
      <c r="W30" s="72"/>
      <c r="Y30" s="212"/>
      <c r="AA30" s="212"/>
      <c r="AB30" s="212"/>
      <c r="AD30" s="72"/>
      <c r="AF30" s="212"/>
      <c r="AH30" s="212"/>
      <c r="AI30" s="212"/>
    </row>
    <row r="31" spans="1:35" s="29" customFormat="1" ht="10.15" x14ac:dyDescent="0.2">
      <c r="A31" s="205" t="s">
        <v>130</v>
      </c>
      <c r="B31" s="206" t="s">
        <v>71</v>
      </c>
      <c r="C31" s="207">
        <v>2.6</v>
      </c>
      <c r="D31" s="206">
        <v>1</v>
      </c>
      <c r="E31" s="206">
        <f t="shared" si="2"/>
        <v>2.6</v>
      </c>
      <c r="F31" s="206"/>
      <c r="G31" s="208"/>
      <c r="H31" s="209"/>
      <c r="I31" s="209"/>
      <c r="J31" s="209"/>
      <c r="K31" s="209"/>
      <c r="L31" s="209"/>
      <c r="M31" s="209">
        <f t="shared" si="6"/>
        <v>2.6</v>
      </c>
      <c r="N31" s="209"/>
      <c r="O31" s="27"/>
      <c r="P31" s="72"/>
      <c r="R31" s="212"/>
      <c r="T31" s="212"/>
      <c r="U31" s="212"/>
      <c r="W31" s="72"/>
      <c r="Y31" s="212"/>
      <c r="AA31" s="212"/>
      <c r="AB31" s="212"/>
      <c r="AD31" s="72"/>
      <c r="AF31" s="212"/>
      <c r="AH31" s="212"/>
      <c r="AI31" s="212"/>
    </row>
    <row r="32" spans="1:35" s="29" customFormat="1" ht="10.15" x14ac:dyDescent="0.2">
      <c r="A32" s="205" t="s">
        <v>131</v>
      </c>
      <c r="B32" s="206" t="s">
        <v>77</v>
      </c>
      <c r="C32" s="207">
        <v>1.66</v>
      </c>
      <c r="D32" s="206">
        <v>1</v>
      </c>
      <c r="E32" s="206">
        <f t="shared" si="2"/>
        <v>1.66</v>
      </c>
      <c r="F32" s="206"/>
      <c r="G32" s="208"/>
      <c r="H32" s="209"/>
      <c r="I32" s="209"/>
      <c r="J32" s="209"/>
      <c r="K32" s="209"/>
      <c r="L32" s="209"/>
      <c r="M32" s="209">
        <f t="shared" si="6"/>
        <v>1.66</v>
      </c>
      <c r="N32" s="209"/>
      <c r="O32" s="27"/>
      <c r="P32" s="72"/>
      <c r="R32" s="212"/>
      <c r="T32" s="212"/>
      <c r="U32" s="212"/>
      <c r="W32" s="72"/>
      <c r="Y32" s="212"/>
      <c r="AA32" s="212"/>
      <c r="AB32" s="212"/>
      <c r="AD32" s="72"/>
      <c r="AF32" s="212"/>
      <c r="AH32" s="212"/>
      <c r="AI32" s="212"/>
    </row>
    <row r="33" spans="1:35" s="29" customFormat="1" ht="22.5" x14ac:dyDescent="0.2">
      <c r="A33" s="205" t="s">
        <v>132</v>
      </c>
      <c r="B33" s="206" t="s">
        <v>133</v>
      </c>
      <c r="C33" s="207">
        <v>5.04</v>
      </c>
      <c r="D33" s="206">
        <v>1</v>
      </c>
      <c r="E33" s="206">
        <f t="shared" si="2"/>
        <v>5.04</v>
      </c>
      <c r="F33" s="206"/>
      <c r="G33" s="208"/>
      <c r="H33" s="209"/>
      <c r="I33" s="209"/>
      <c r="J33" s="209"/>
      <c r="K33" s="209"/>
      <c r="L33" s="209"/>
      <c r="M33" s="209">
        <f t="shared" si="6"/>
        <v>5.04</v>
      </c>
      <c r="N33" s="209"/>
      <c r="O33" s="27"/>
      <c r="P33" s="72"/>
      <c r="R33" s="212"/>
      <c r="T33" s="212"/>
      <c r="U33" s="212"/>
      <c r="W33" s="72"/>
      <c r="Y33" s="212"/>
      <c r="AA33" s="212"/>
      <c r="AB33" s="212"/>
      <c r="AD33" s="72"/>
      <c r="AF33" s="212"/>
      <c r="AH33" s="212"/>
      <c r="AI33" s="212"/>
    </row>
    <row r="34" spans="1:35" s="29" customFormat="1" ht="10.15" x14ac:dyDescent="0.2">
      <c r="A34" s="205" t="s">
        <v>13</v>
      </c>
      <c r="B34" s="206" t="s">
        <v>73</v>
      </c>
      <c r="C34" s="207">
        <v>18.16</v>
      </c>
      <c r="D34" s="206">
        <v>2</v>
      </c>
      <c r="E34" s="206">
        <f t="shared" si="2"/>
        <v>36.32</v>
      </c>
      <c r="F34" s="206"/>
      <c r="G34" s="208"/>
      <c r="H34" s="209">
        <f>E34</f>
        <v>36.32</v>
      </c>
      <c r="I34" s="209"/>
      <c r="J34" s="209"/>
      <c r="K34" s="209"/>
      <c r="L34" s="209"/>
      <c r="M34" s="209"/>
      <c r="N34" s="209"/>
      <c r="O34" s="27"/>
      <c r="P34" s="72"/>
      <c r="R34" s="212"/>
      <c r="T34" s="212"/>
      <c r="U34" s="212"/>
      <c r="W34" s="72"/>
      <c r="Y34" s="212"/>
      <c r="AA34" s="212"/>
      <c r="AB34" s="212"/>
      <c r="AD34" s="72"/>
      <c r="AF34" s="212"/>
      <c r="AH34" s="212"/>
      <c r="AI34" s="212"/>
    </row>
    <row r="35" spans="1:35" s="29" customFormat="1" ht="10.15" x14ac:dyDescent="0.2">
      <c r="A35" s="205" t="s">
        <v>14</v>
      </c>
      <c r="B35" s="206" t="s">
        <v>134</v>
      </c>
      <c r="C35" s="207">
        <v>74.05</v>
      </c>
      <c r="D35" s="206">
        <v>1</v>
      </c>
      <c r="E35" s="206">
        <f t="shared" si="2"/>
        <v>74.05</v>
      </c>
      <c r="F35" s="206"/>
      <c r="G35" s="208"/>
      <c r="H35" s="209"/>
      <c r="I35" s="209"/>
      <c r="J35" s="209"/>
      <c r="K35" s="209"/>
      <c r="L35" s="209">
        <f>E35</f>
        <v>74.05</v>
      </c>
      <c r="M35" s="209"/>
      <c r="N35" s="209"/>
      <c r="O35" s="27"/>
      <c r="P35" s="72"/>
      <c r="R35" s="212"/>
      <c r="T35" s="212"/>
      <c r="U35" s="212"/>
      <c r="W35" s="72"/>
      <c r="Y35" s="212"/>
      <c r="AA35" s="212"/>
      <c r="AB35" s="212"/>
      <c r="AD35" s="72"/>
      <c r="AF35" s="212"/>
      <c r="AH35" s="212"/>
      <c r="AI35" s="212"/>
    </row>
    <row r="36" spans="1:35" s="29" customFormat="1" ht="10.15" x14ac:dyDescent="0.2">
      <c r="A36" s="205" t="s">
        <v>15</v>
      </c>
      <c r="B36" s="206" t="s">
        <v>71</v>
      </c>
      <c r="C36" s="207">
        <v>2.6</v>
      </c>
      <c r="D36" s="206">
        <v>1</v>
      </c>
      <c r="E36" s="206">
        <f t="shared" si="2"/>
        <v>2.6</v>
      </c>
      <c r="F36" s="206"/>
      <c r="G36" s="208"/>
      <c r="H36" s="209"/>
      <c r="I36" s="209"/>
      <c r="J36" s="209"/>
      <c r="K36" s="209"/>
      <c r="L36" s="209">
        <f t="shared" ref="L36:L37" si="7">E36</f>
        <v>2.6</v>
      </c>
      <c r="M36" s="209"/>
      <c r="N36" s="209"/>
      <c r="O36" s="27"/>
      <c r="P36" s="72"/>
      <c r="R36" s="212"/>
      <c r="T36" s="212"/>
      <c r="U36" s="212"/>
      <c r="W36" s="72"/>
      <c r="Y36" s="212"/>
      <c r="AA36" s="212"/>
      <c r="AB36" s="212"/>
      <c r="AD36" s="72"/>
      <c r="AF36" s="212"/>
      <c r="AH36" s="212"/>
      <c r="AI36" s="212"/>
    </row>
    <row r="37" spans="1:35" s="29" customFormat="1" ht="10.15" x14ac:dyDescent="0.2">
      <c r="A37" s="205" t="s">
        <v>16</v>
      </c>
      <c r="B37" s="206" t="s">
        <v>77</v>
      </c>
      <c r="C37" s="207">
        <v>1.66</v>
      </c>
      <c r="D37" s="206">
        <v>1</v>
      </c>
      <c r="E37" s="206">
        <f t="shared" si="2"/>
        <v>1.66</v>
      </c>
      <c r="F37" s="206"/>
      <c r="G37" s="208"/>
      <c r="H37" s="209"/>
      <c r="I37" s="209"/>
      <c r="J37" s="209"/>
      <c r="K37" s="209"/>
      <c r="L37" s="209">
        <f t="shared" si="7"/>
        <v>1.66</v>
      </c>
      <c r="M37" s="209"/>
      <c r="N37" s="209"/>
      <c r="O37" s="27"/>
      <c r="P37" s="72"/>
      <c r="R37" s="212"/>
      <c r="T37" s="212"/>
      <c r="U37" s="212"/>
      <c r="W37" s="72"/>
      <c r="Y37" s="212"/>
      <c r="AA37" s="212"/>
      <c r="AB37" s="212"/>
      <c r="AD37" s="72"/>
      <c r="AF37" s="212"/>
      <c r="AH37" s="212"/>
      <c r="AI37" s="212"/>
    </row>
    <row r="38" spans="1:35" s="29" customFormat="1" ht="10.15" x14ac:dyDescent="0.2">
      <c r="A38" s="205" t="s">
        <v>17</v>
      </c>
      <c r="B38" s="206" t="s">
        <v>133</v>
      </c>
      <c r="C38" s="207">
        <v>5.04</v>
      </c>
      <c r="D38" s="206">
        <v>1</v>
      </c>
      <c r="E38" s="206">
        <f t="shared" si="2"/>
        <v>5.04</v>
      </c>
      <c r="F38" s="206"/>
      <c r="G38" s="208"/>
      <c r="H38" s="209"/>
      <c r="I38" s="209"/>
      <c r="J38" s="209"/>
      <c r="K38" s="209"/>
      <c r="L38" s="209">
        <f>E38</f>
        <v>5.04</v>
      </c>
      <c r="M38" s="209"/>
      <c r="N38" s="209"/>
      <c r="O38" s="27"/>
      <c r="P38" s="72"/>
      <c r="R38" s="212"/>
      <c r="T38" s="212"/>
      <c r="U38" s="212"/>
      <c r="W38" s="72"/>
      <c r="Y38" s="212"/>
      <c r="AA38" s="212"/>
      <c r="AB38" s="212"/>
      <c r="AD38" s="72"/>
      <c r="AF38" s="212"/>
      <c r="AH38" s="212"/>
      <c r="AI38" s="212"/>
    </row>
    <row r="39" spans="1:35" s="29" customFormat="1" ht="10.15" x14ac:dyDescent="0.2">
      <c r="A39" s="205" t="s">
        <v>135</v>
      </c>
      <c r="B39" s="206" t="s">
        <v>129</v>
      </c>
      <c r="C39" s="207">
        <f>(7.05+14.23)/D39</f>
        <v>10.64</v>
      </c>
      <c r="D39" s="206">
        <v>2</v>
      </c>
      <c r="E39" s="206">
        <f t="shared" si="2"/>
        <v>21.28</v>
      </c>
      <c r="F39" s="206"/>
      <c r="G39" s="208"/>
      <c r="H39" s="209"/>
      <c r="I39" s="209"/>
      <c r="J39" s="209"/>
      <c r="K39" s="209"/>
      <c r="L39" s="209"/>
      <c r="M39" s="209"/>
      <c r="N39" s="209">
        <f>E39</f>
        <v>21.28</v>
      </c>
      <c r="O39" s="27"/>
      <c r="P39" s="72"/>
      <c r="R39" s="212"/>
      <c r="T39" s="212"/>
      <c r="U39" s="212"/>
      <c r="W39" s="72"/>
      <c r="Y39" s="212"/>
      <c r="AA39" s="212"/>
      <c r="AB39" s="212"/>
      <c r="AD39" s="72"/>
      <c r="AF39" s="212"/>
      <c r="AH39" s="212"/>
      <c r="AI39" s="212"/>
    </row>
    <row r="40" spans="1:35" s="29" customFormat="1" ht="10.15" x14ac:dyDescent="0.2">
      <c r="A40" s="205" t="s">
        <v>136</v>
      </c>
      <c r="B40" s="206" t="s">
        <v>127</v>
      </c>
      <c r="C40" s="207">
        <v>11.69</v>
      </c>
      <c r="D40" s="206">
        <v>2</v>
      </c>
      <c r="E40" s="206">
        <f t="shared" si="2"/>
        <v>23.38</v>
      </c>
      <c r="F40" s="206"/>
      <c r="G40" s="208"/>
      <c r="H40" s="209"/>
      <c r="I40" s="209"/>
      <c r="J40" s="209"/>
      <c r="K40" s="209"/>
      <c r="L40" s="209"/>
      <c r="M40" s="209"/>
      <c r="N40" s="209">
        <f>E40</f>
        <v>23.38</v>
      </c>
      <c r="O40" s="27"/>
      <c r="P40" s="72"/>
      <c r="R40" s="212"/>
      <c r="T40" s="212"/>
      <c r="U40" s="212"/>
      <c r="W40" s="72"/>
      <c r="Y40" s="212"/>
      <c r="AA40" s="212"/>
      <c r="AB40" s="212"/>
      <c r="AD40" s="72"/>
      <c r="AF40" s="212"/>
      <c r="AH40" s="212"/>
      <c r="AI40" s="212"/>
    </row>
    <row r="41" spans="1:35" s="29" customFormat="1" ht="10.15" x14ac:dyDescent="0.2">
      <c r="A41" s="205" t="s">
        <v>137</v>
      </c>
      <c r="B41" s="206" t="s">
        <v>138</v>
      </c>
      <c r="C41" s="207">
        <v>1.27</v>
      </c>
      <c r="D41" s="206">
        <v>1</v>
      </c>
      <c r="E41" s="206">
        <f t="shared" si="2"/>
        <v>1.27</v>
      </c>
      <c r="F41" s="206"/>
      <c r="G41" s="208"/>
      <c r="H41" s="209"/>
      <c r="I41" s="209"/>
      <c r="J41" s="209"/>
      <c r="K41" s="209"/>
      <c r="L41" s="209"/>
      <c r="M41" s="209"/>
      <c r="N41" s="209">
        <f t="shared" ref="N41:N44" si="8">E41</f>
        <v>1.27</v>
      </c>
      <c r="O41" s="27"/>
      <c r="P41" s="72"/>
      <c r="R41" s="212"/>
      <c r="T41" s="212"/>
      <c r="U41" s="212"/>
      <c r="W41" s="72"/>
      <c r="Y41" s="212"/>
      <c r="AA41" s="212"/>
      <c r="AB41" s="212"/>
      <c r="AD41" s="72"/>
      <c r="AF41" s="212"/>
      <c r="AH41" s="212"/>
      <c r="AI41" s="212"/>
    </row>
    <row r="42" spans="1:35" s="29" customFormat="1" ht="22.5" x14ac:dyDescent="0.2">
      <c r="A42" s="205" t="s">
        <v>139</v>
      </c>
      <c r="B42" s="206" t="s">
        <v>138</v>
      </c>
      <c r="C42" s="207">
        <v>1.1399999999999999</v>
      </c>
      <c r="D42" s="206">
        <v>1</v>
      </c>
      <c r="E42" s="206">
        <f t="shared" si="2"/>
        <v>1.1399999999999999</v>
      </c>
      <c r="F42" s="206"/>
      <c r="G42" s="208"/>
      <c r="H42" s="209"/>
      <c r="I42" s="209"/>
      <c r="J42" s="209"/>
      <c r="K42" s="209"/>
      <c r="L42" s="209"/>
      <c r="M42" s="209"/>
      <c r="N42" s="209">
        <f t="shared" si="8"/>
        <v>1.1399999999999999</v>
      </c>
      <c r="O42" s="27"/>
      <c r="P42" s="72"/>
      <c r="R42" s="212"/>
      <c r="T42" s="212"/>
      <c r="U42" s="212"/>
      <c r="W42" s="72"/>
      <c r="Y42" s="212"/>
      <c r="AA42" s="212"/>
      <c r="AB42" s="212"/>
      <c r="AD42" s="72"/>
      <c r="AF42" s="212"/>
      <c r="AH42" s="212"/>
      <c r="AI42" s="212"/>
    </row>
    <row r="43" spans="1:35" s="29" customFormat="1" ht="22.5" x14ac:dyDescent="0.2">
      <c r="A43" s="205" t="s">
        <v>140</v>
      </c>
      <c r="B43" s="206" t="s">
        <v>138</v>
      </c>
      <c r="C43" s="207">
        <v>0.62</v>
      </c>
      <c r="D43" s="206">
        <v>1</v>
      </c>
      <c r="E43" s="206">
        <f t="shared" si="2"/>
        <v>0.62</v>
      </c>
      <c r="F43" s="206"/>
      <c r="G43" s="208"/>
      <c r="H43" s="209"/>
      <c r="I43" s="209"/>
      <c r="J43" s="209"/>
      <c r="K43" s="209"/>
      <c r="L43" s="209"/>
      <c r="M43" s="209"/>
      <c r="N43" s="209">
        <f t="shared" si="8"/>
        <v>0.62</v>
      </c>
      <c r="O43" s="27"/>
      <c r="P43" s="72"/>
      <c r="R43" s="212"/>
      <c r="T43" s="212"/>
      <c r="U43" s="212"/>
      <c r="W43" s="72"/>
      <c r="Y43" s="212"/>
      <c r="AA43" s="212"/>
      <c r="AB43" s="212"/>
      <c r="AD43" s="72"/>
      <c r="AF43" s="212"/>
      <c r="AH43" s="212"/>
      <c r="AI43" s="212"/>
    </row>
    <row r="44" spans="1:35" s="29" customFormat="1" ht="22.5" x14ac:dyDescent="0.2">
      <c r="A44" s="205" t="s">
        <v>141</v>
      </c>
      <c r="B44" s="206" t="s">
        <v>138</v>
      </c>
      <c r="C44" s="207">
        <v>0.54</v>
      </c>
      <c r="D44" s="206">
        <v>1</v>
      </c>
      <c r="E44" s="206">
        <f t="shared" si="2"/>
        <v>0.54</v>
      </c>
      <c r="F44" s="206"/>
      <c r="G44" s="208"/>
      <c r="H44" s="209"/>
      <c r="I44" s="209"/>
      <c r="J44" s="209"/>
      <c r="K44" s="209"/>
      <c r="L44" s="209"/>
      <c r="M44" s="209"/>
      <c r="N44" s="209">
        <f t="shared" si="8"/>
        <v>0.54</v>
      </c>
      <c r="O44" s="27"/>
      <c r="P44" s="72"/>
      <c r="R44" s="212"/>
      <c r="T44" s="212"/>
      <c r="U44" s="212"/>
      <c r="W44" s="72"/>
      <c r="Y44" s="212"/>
      <c r="AA44" s="212"/>
      <c r="AB44" s="212"/>
      <c r="AD44" s="72"/>
      <c r="AF44" s="212"/>
      <c r="AH44" s="212"/>
      <c r="AI44" s="212"/>
    </row>
    <row r="45" spans="1:35" ht="10.15" x14ac:dyDescent="0.2">
      <c r="A45" s="205" t="s">
        <v>18</v>
      </c>
      <c r="B45" s="206" t="s">
        <v>71</v>
      </c>
      <c r="C45" s="207">
        <v>46.13</v>
      </c>
      <c r="D45" s="206">
        <v>1</v>
      </c>
      <c r="E45" s="206"/>
      <c r="F45" s="206">
        <f t="shared" ref="F45:F48" si="9">C45*D45</f>
        <v>46.13</v>
      </c>
      <c r="G45" s="208"/>
      <c r="H45" s="209"/>
      <c r="I45" s="209"/>
      <c r="J45" s="209"/>
      <c r="K45" s="209"/>
      <c r="L45" s="209"/>
      <c r="M45" s="209"/>
      <c r="N45" s="209"/>
    </row>
    <row r="46" spans="1:35" ht="10.15" x14ac:dyDescent="0.2">
      <c r="A46" s="205" t="s">
        <v>18</v>
      </c>
      <c r="B46" s="206" t="s">
        <v>71</v>
      </c>
      <c r="C46" s="207">
        <v>63.48</v>
      </c>
      <c r="D46" s="206">
        <v>1</v>
      </c>
      <c r="E46" s="206"/>
      <c r="F46" s="206">
        <f t="shared" si="9"/>
        <v>63.48</v>
      </c>
      <c r="G46" s="208"/>
      <c r="H46" s="209"/>
      <c r="I46" s="209"/>
      <c r="J46" s="209"/>
      <c r="K46" s="209"/>
      <c r="L46" s="209"/>
      <c r="M46" s="209"/>
      <c r="N46" s="209"/>
    </row>
    <row r="47" spans="1:35" ht="10.15" x14ac:dyDescent="0.2">
      <c r="A47" s="205" t="s">
        <v>154</v>
      </c>
      <c r="B47" s="206" t="s">
        <v>71</v>
      </c>
      <c r="C47" s="207">
        <v>21.82</v>
      </c>
      <c r="D47" s="206">
        <v>1</v>
      </c>
      <c r="E47" s="206"/>
      <c r="F47" s="206">
        <f t="shared" si="9"/>
        <v>21.82</v>
      </c>
      <c r="G47" s="208"/>
      <c r="H47" s="209"/>
      <c r="I47" s="209"/>
      <c r="J47" s="209"/>
      <c r="K47" s="209"/>
      <c r="L47" s="209"/>
      <c r="M47" s="209"/>
      <c r="N47" s="209"/>
    </row>
    <row r="48" spans="1:35" ht="10.15" x14ac:dyDescent="0.2">
      <c r="A48" s="205" t="s">
        <v>155</v>
      </c>
      <c r="B48" s="206" t="s">
        <v>156</v>
      </c>
      <c r="C48" s="207">
        <v>50.05</v>
      </c>
      <c r="D48" s="206">
        <v>1</v>
      </c>
      <c r="E48" s="206"/>
      <c r="F48" s="206">
        <f t="shared" si="9"/>
        <v>50.05</v>
      </c>
      <c r="G48" s="208"/>
      <c r="H48" s="209"/>
      <c r="I48" s="209"/>
      <c r="J48" s="209"/>
      <c r="K48" s="209"/>
      <c r="L48" s="209"/>
      <c r="M48" s="209"/>
      <c r="N48" s="209"/>
    </row>
    <row r="49" spans="1:15" ht="10.15" x14ac:dyDescent="0.2">
      <c r="A49" s="72"/>
      <c r="B49" s="72" t="s">
        <v>48</v>
      </c>
      <c r="C49" s="211">
        <f>SUM(E49:F49)</f>
        <v>886.06999999999994</v>
      </c>
      <c r="D49" s="72"/>
      <c r="E49" s="211">
        <f>SUM(E5:E48)</f>
        <v>704.58999999999992</v>
      </c>
      <c r="F49" s="211">
        <f>SUM(F5:F48)</f>
        <v>181.48000000000002</v>
      </c>
      <c r="G49" s="211"/>
      <c r="H49" s="217">
        <f>SUM(H5:H48)</f>
        <v>36.32</v>
      </c>
      <c r="I49" s="217">
        <f>SUM(I5:I48)</f>
        <v>155.04500000000002</v>
      </c>
      <c r="J49" s="217">
        <f t="shared" ref="J49:N49" si="10">SUM(J5:J48)</f>
        <v>161.59500000000003</v>
      </c>
      <c r="K49" s="217">
        <f t="shared" si="10"/>
        <v>86.15</v>
      </c>
      <c r="L49" s="217">
        <f t="shared" si="10"/>
        <v>83.35</v>
      </c>
      <c r="M49" s="217">
        <f t="shared" si="10"/>
        <v>133.89999999999998</v>
      </c>
      <c r="N49" s="217">
        <f t="shared" si="10"/>
        <v>48.23</v>
      </c>
      <c r="O49" s="154">
        <f>SUM(H49:N49)</f>
        <v>704.59</v>
      </c>
    </row>
    <row r="51" spans="1:15" ht="10.15" x14ac:dyDescent="0.2">
      <c r="C51" s="19"/>
      <c r="E51" s="19"/>
      <c r="F51" s="19"/>
      <c r="G51" s="19"/>
      <c r="H51" s="148"/>
    </row>
    <row r="52" spans="1:15" ht="10.15" x14ac:dyDescent="0.2">
      <c r="C52" s="19"/>
      <c r="E52" s="19"/>
      <c r="F52" s="19"/>
      <c r="G52" s="19"/>
      <c r="H52" s="148"/>
    </row>
  </sheetData>
  <phoneticPr fontId="0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52"/>
  <sheetViews>
    <sheetView topLeftCell="F1" zoomScale="85" zoomScaleNormal="85" workbookViewId="0">
      <selection activeCell="J21" sqref="J18:R21"/>
    </sheetView>
  </sheetViews>
  <sheetFormatPr defaultColWidth="6.140625" defaultRowHeight="11.25" x14ac:dyDescent="0.2"/>
  <cols>
    <col min="1" max="1" width="9.140625" style="72" customWidth="1"/>
    <col min="2" max="2" width="14.42578125" style="29" customWidth="1"/>
    <col min="3" max="3" width="17.85546875" style="29" customWidth="1"/>
    <col min="4" max="4" width="6.7109375" style="29" bestFit="1" customWidth="1"/>
    <col min="5" max="5" width="8.5703125" style="29" bestFit="1" customWidth="1"/>
    <col min="6" max="6" width="9" style="29" bestFit="1" customWidth="1"/>
    <col min="7" max="7" width="5.28515625" style="29" bestFit="1" customWidth="1"/>
    <col min="8" max="8" width="8.85546875" style="29" bestFit="1" customWidth="1"/>
    <col min="9" max="9" width="2.7109375" style="27" customWidth="1"/>
    <col min="10" max="10" width="9.140625" style="29" bestFit="1" customWidth="1"/>
    <col min="11" max="12" width="9.42578125" style="29" bestFit="1" customWidth="1"/>
    <col min="13" max="13" width="7.7109375" style="29" bestFit="1" customWidth="1"/>
    <col min="14" max="14" width="3.85546875" style="29" bestFit="1" customWidth="1"/>
    <col min="15" max="15" width="6.140625" style="29" customWidth="1"/>
    <col min="16" max="16" width="7.42578125" style="72" customWidth="1"/>
    <col min="17" max="17" width="7.28515625" style="29" bestFit="1" customWidth="1"/>
    <col min="18" max="18" width="15" style="29" bestFit="1" customWidth="1"/>
    <col min="19" max="19" width="6.7109375" style="29" bestFit="1" customWidth="1"/>
    <col min="20" max="20" width="8.5703125" style="29" bestFit="1" customWidth="1"/>
    <col min="21" max="21" width="9" style="29" bestFit="1" customWidth="1"/>
    <col min="22" max="22" width="5.28515625" style="29" bestFit="1" customWidth="1"/>
    <col min="23" max="23" width="8.85546875" style="218" bestFit="1" customWidth="1"/>
    <col min="24" max="24" width="6.140625" style="29"/>
    <col min="25" max="25" width="7.7109375" style="72" bestFit="1" customWidth="1"/>
    <col min="26" max="26" width="7.28515625" style="29" bestFit="1" customWidth="1"/>
    <col min="27" max="27" width="6.7109375" style="29" bestFit="1" customWidth="1"/>
    <col min="28" max="28" width="8.5703125" style="29" bestFit="1" customWidth="1"/>
    <col min="29" max="29" width="9" style="29" bestFit="1" customWidth="1"/>
    <col min="30" max="30" width="5.28515625" style="218" bestFit="1" customWidth="1"/>
    <col min="31" max="31" width="8.85546875" style="29" bestFit="1" customWidth="1"/>
    <col min="32" max="32" width="6.140625" style="27"/>
    <col min="33" max="33" width="12.7109375" style="72" bestFit="1" customWidth="1"/>
    <col min="34" max="34" width="6.140625" style="29" bestFit="1" customWidth="1"/>
    <col min="35" max="35" width="6.7109375" style="29" bestFit="1" customWidth="1"/>
    <col min="36" max="36" width="11.7109375" style="29" bestFit="1" customWidth="1"/>
    <col min="37" max="37" width="8.5703125" style="29" bestFit="1" customWidth="1"/>
    <col min="38" max="38" width="8.85546875" style="218" bestFit="1" customWidth="1"/>
    <col min="39" max="16384" width="6.140625" style="29"/>
  </cols>
  <sheetData>
    <row r="1" spans="1:38" ht="10.15" x14ac:dyDescent="0.2">
      <c r="A1" s="72" t="s">
        <v>319</v>
      </c>
    </row>
    <row r="3" spans="1:38" s="198" customFormat="1" ht="10.15" x14ac:dyDescent="0.2">
      <c r="A3" s="192" t="s">
        <v>29</v>
      </c>
      <c r="B3" s="192"/>
      <c r="C3" s="192"/>
      <c r="D3" s="192"/>
      <c r="E3" s="192"/>
      <c r="F3" s="192"/>
      <c r="G3" s="192"/>
      <c r="H3" s="219"/>
      <c r="I3" s="196"/>
      <c r="J3" s="219"/>
      <c r="K3" s="219"/>
      <c r="L3" s="219"/>
      <c r="M3" s="219"/>
      <c r="N3" s="219"/>
      <c r="P3" s="192" t="s">
        <v>64</v>
      </c>
      <c r="Q3" s="192"/>
      <c r="R3" s="192"/>
      <c r="S3" s="192"/>
      <c r="T3" s="192"/>
      <c r="U3" s="192"/>
      <c r="V3" s="192"/>
      <c r="W3" s="192"/>
      <c r="Y3" s="192" t="s">
        <v>65</v>
      </c>
      <c r="Z3" s="192"/>
      <c r="AA3" s="192"/>
      <c r="AB3" s="192"/>
      <c r="AC3" s="192"/>
      <c r="AD3" s="192"/>
      <c r="AE3" s="192"/>
      <c r="AF3" s="197"/>
      <c r="AG3" s="192" t="s">
        <v>66</v>
      </c>
      <c r="AH3" s="192"/>
      <c r="AI3" s="192"/>
      <c r="AJ3" s="192"/>
      <c r="AK3" s="192"/>
      <c r="AL3" s="219"/>
    </row>
    <row r="4" spans="1:38" s="72" customFormat="1" ht="10.15" x14ac:dyDescent="0.2">
      <c r="A4" s="199" t="s">
        <v>67</v>
      </c>
      <c r="B4" s="199" t="s">
        <v>68</v>
      </c>
      <c r="C4" s="199" t="s">
        <v>69</v>
      </c>
      <c r="D4" s="199" t="s">
        <v>144</v>
      </c>
      <c r="E4" s="199" t="s">
        <v>62</v>
      </c>
      <c r="F4" s="199" t="s">
        <v>292</v>
      </c>
      <c r="G4" s="199" t="s">
        <v>147</v>
      </c>
      <c r="H4" s="220" t="s">
        <v>70</v>
      </c>
      <c r="I4" s="203"/>
      <c r="J4" s="220" t="s">
        <v>298</v>
      </c>
      <c r="K4" s="220" t="s">
        <v>297</v>
      </c>
      <c r="L4" s="220" t="s">
        <v>114</v>
      </c>
      <c r="M4" s="220" t="s">
        <v>299</v>
      </c>
      <c r="N4" s="220" t="s">
        <v>296</v>
      </c>
      <c r="O4" s="69"/>
      <c r="P4" s="199" t="s">
        <v>67</v>
      </c>
      <c r="Q4" s="199" t="s">
        <v>68</v>
      </c>
      <c r="R4" s="199" t="s">
        <v>69</v>
      </c>
      <c r="S4" s="199" t="s">
        <v>144</v>
      </c>
      <c r="T4" s="199" t="s">
        <v>62</v>
      </c>
      <c r="U4" s="199" t="s">
        <v>292</v>
      </c>
      <c r="V4" s="199" t="s">
        <v>147</v>
      </c>
      <c r="W4" s="199" t="s">
        <v>70</v>
      </c>
      <c r="Y4" s="199" t="s">
        <v>67</v>
      </c>
      <c r="Z4" s="199" t="s">
        <v>68</v>
      </c>
      <c r="AA4" s="199" t="s">
        <v>144</v>
      </c>
      <c r="AB4" s="199" t="s">
        <v>62</v>
      </c>
      <c r="AC4" s="199" t="s">
        <v>292</v>
      </c>
      <c r="AD4" s="199" t="s">
        <v>147</v>
      </c>
      <c r="AE4" s="199" t="s">
        <v>70</v>
      </c>
      <c r="AF4" s="204"/>
      <c r="AG4" s="199" t="s">
        <v>67</v>
      </c>
      <c r="AH4" s="199" t="s">
        <v>68</v>
      </c>
      <c r="AI4" s="199" t="s">
        <v>144</v>
      </c>
      <c r="AJ4" s="199" t="s">
        <v>69</v>
      </c>
      <c r="AK4" s="199" t="s">
        <v>62</v>
      </c>
      <c r="AL4" s="220" t="s">
        <v>70</v>
      </c>
    </row>
    <row r="5" spans="1:38" ht="22.5" x14ac:dyDescent="0.2">
      <c r="A5" s="205" t="s">
        <v>1</v>
      </c>
      <c r="B5" s="206" t="s">
        <v>71</v>
      </c>
      <c r="C5" s="206" t="str">
        <f>$B$33</f>
        <v>Zon. ús públic</v>
      </c>
      <c r="D5" s="207">
        <f>'Quadre d’àrees de projecte  '!C5</f>
        <v>36.22</v>
      </c>
      <c r="E5" s="206">
        <f>$C$33</f>
        <v>2</v>
      </c>
      <c r="F5" s="207">
        <f>D5/E5</f>
        <v>18.11</v>
      </c>
      <c r="G5" s="206">
        <f>'Quadre d’àrees de projecte  '!D5</f>
        <v>1</v>
      </c>
      <c r="H5" s="221">
        <f>F5*G5</f>
        <v>18.11</v>
      </c>
      <c r="I5" s="222"/>
      <c r="J5" s="221">
        <f>H5</f>
        <v>18.11</v>
      </c>
      <c r="K5" s="221"/>
      <c r="L5" s="221"/>
      <c r="M5" s="221"/>
      <c r="N5" s="221"/>
      <c r="P5" s="205" t="s">
        <v>80</v>
      </c>
      <c r="Q5" s="206" t="s">
        <v>81</v>
      </c>
      <c r="R5" s="206" t="str">
        <f>$B$27</f>
        <v>Zon. allotjament llits*</v>
      </c>
      <c r="S5" s="207">
        <f>'Quadre d’àrees de projecte  '!R7</f>
        <v>14.76</v>
      </c>
      <c r="T5" s="206">
        <f>S5/U5</f>
        <v>3.69</v>
      </c>
      <c r="U5" s="221">
        <v>4</v>
      </c>
      <c r="V5" s="221">
        <f>'Quadre d’àrees de projecte  '!S7</f>
        <v>7</v>
      </c>
      <c r="W5" s="221">
        <f>U5*V5</f>
        <v>28</v>
      </c>
      <c r="Y5" s="205" t="s">
        <v>85</v>
      </c>
      <c r="Z5" s="206" t="s">
        <v>86</v>
      </c>
      <c r="AA5" s="207">
        <f>'Quadre d’àrees de projecte  '!Y8</f>
        <v>14.76</v>
      </c>
      <c r="AB5" s="206">
        <f>AA5/AC5</f>
        <v>3.69</v>
      </c>
      <c r="AC5" s="221">
        <v>4</v>
      </c>
      <c r="AD5" s="221">
        <f>'Quadre d’àrees de projecte  '!Z8</f>
        <v>16</v>
      </c>
      <c r="AE5" s="221">
        <f>AC5*AD5</f>
        <v>64</v>
      </c>
      <c r="AF5" s="222"/>
      <c r="AG5" s="205" t="s">
        <v>87</v>
      </c>
      <c r="AH5" s="206" t="s">
        <v>88</v>
      </c>
      <c r="AI5" s="207">
        <f>'Quadre d’àrees de projecte  '!AI8</f>
        <v>228.8</v>
      </c>
      <c r="AJ5" s="206" t="str">
        <f>$B$26</f>
        <v>Zon. allotjament</v>
      </c>
      <c r="AK5" s="206">
        <f>$C$26</f>
        <v>20</v>
      </c>
      <c r="AL5" s="221">
        <f>AI5/AK5</f>
        <v>11.440000000000001</v>
      </c>
    </row>
    <row r="6" spans="1:38" ht="22.5" x14ac:dyDescent="0.2">
      <c r="A6" s="205" t="s">
        <v>2</v>
      </c>
      <c r="B6" s="206" t="s">
        <v>71</v>
      </c>
      <c r="C6" s="206" t="str">
        <f>$B$33</f>
        <v>Zon. ús públic</v>
      </c>
      <c r="D6" s="207">
        <f>'Quadre d’àrees de projecte  '!C6</f>
        <v>33.549999999999997</v>
      </c>
      <c r="E6" s="206">
        <f>$C$33</f>
        <v>2</v>
      </c>
      <c r="F6" s="207">
        <f t="shared" ref="F6:F20" si="0">D6/E6</f>
        <v>16.774999999999999</v>
      </c>
      <c r="G6" s="206">
        <f>'Quadre d’àrees de projecte  '!D6</f>
        <v>1</v>
      </c>
      <c r="H6" s="221">
        <f t="shared" ref="H6:H20" si="1">F6*G6</f>
        <v>16.774999999999999</v>
      </c>
      <c r="I6" s="222"/>
      <c r="J6" s="221"/>
      <c r="K6" s="221">
        <f>H6</f>
        <v>16.774999999999999</v>
      </c>
      <c r="L6" s="221"/>
      <c r="M6" s="221"/>
      <c r="N6" s="221"/>
      <c r="P6" s="205" t="s">
        <v>97</v>
      </c>
      <c r="Q6" s="206" t="s">
        <v>86</v>
      </c>
      <c r="R6" s="206" t="str">
        <f>$B$27</f>
        <v>Zon. allotjament llits*</v>
      </c>
      <c r="S6" s="207">
        <f>'Quadre d’àrees de projecte  '!R11</f>
        <v>14.76</v>
      </c>
      <c r="T6" s="206">
        <f t="shared" ref="T6:T9" si="2">S6/U6</f>
        <v>3.69</v>
      </c>
      <c r="U6" s="221">
        <v>4</v>
      </c>
      <c r="V6" s="221">
        <f>'Quadre d’àrees de projecte  '!S11</f>
        <v>8</v>
      </c>
      <c r="W6" s="221">
        <f t="shared" ref="W6:W9" si="3">U6*V6</f>
        <v>32</v>
      </c>
      <c r="Y6" s="205" t="s">
        <v>25</v>
      </c>
      <c r="Z6" s="206" t="s">
        <v>81</v>
      </c>
      <c r="AA6" s="207">
        <f>'Quadre d’àrees de projecte  '!Y12</f>
        <v>14.76</v>
      </c>
      <c r="AB6" s="206">
        <f t="shared" ref="AB6" si="4">AA6/AC6</f>
        <v>3.69</v>
      </c>
      <c r="AC6" s="221">
        <v>4</v>
      </c>
      <c r="AD6" s="221">
        <f>'Quadre d’àrees de projecte  '!Z12</f>
        <v>8</v>
      </c>
      <c r="AE6" s="221">
        <f t="shared" ref="AE6" si="5">AC6*AD6</f>
        <v>32</v>
      </c>
      <c r="AF6" s="222"/>
      <c r="AG6" s="223"/>
      <c r="AH6" s="224"/>
      <c r="AI6" s="224"/>
      <c r="AJ6" s="224"/>
      <c r="AK6" s="225" t="s">
        <v>43</v>
      </c>
      <c r="AL6" s="73">
        <f>SUM(AL4:AL5)</f>
        <v>11.440000000000001</v>
      </c>
    </row>
    <row r="7" spans="1:38" ht="22.5" x14ac:dyDescent="0.2">
      <c r="A7" s="205" t="s">
        <v>3</v>
      </c>
      <c r="B7" s="206" t="s">
        <v>79</v>
      </c>
      <c r="C7" s="206" t="str">
        <f>$B$33</f>
        <v>Zon. ús públic</v>
      </c>
      <c r="D7" s="207">
        <f>'Quadre d’àrees de projecte  '!C7</f>
        <v>6.1</v>
      </c>
      <c r="E7" s="206">
        <f>$C$33</f>
        <v>2</v>
      </c>
      <c r="F7" s="207">
        <f t="shared" si="0"/>
        <v>3.05</v>
      </c>
      <c r="G7" s="206">
        <f>'Quadre d’àrees de projecte  '!D7</f>
        <v>2</v>
      </c>
      <c r="H7" s="221">
        <f t="shared" si="1"/>
        <v>6.1</v>
      </c>
      <c r="I7" s="222"/>
      <c r="J7" s="221">
        <f>H7/2</f>
        <v>3.05</v>
      </c>
      <c r="K7" s="221">
        <f>J7</f>
        <v>3.05</v>
      </c>
      <c r="L7" s="221"/>
      <c r="M7" s="221"/>
      <c r="N7" s="221"/>
      <c r="P7" s="205" t="s">
        <v>99</v>
      </c>
      <c r="Q7" s="206" t="s">
        <v>86</v>
      </c>
      <c r="R7" s="206" t="str">
        <f>$B$27</f>
        <v>Zon. allotjament llits*</v>
      </c>
      <c r="S7" s="207">
        <f>'Quadre d’àrees de projecte  '!R12</f>
        <v>7.18</v>
      </c>
      <c r="T7" s="206">
        <f t="shared" si="2"/>
        <v>3.59</v>
      </c>
      <c r="U7" s="221">
        <v>2</v>
      </c>
      <c r="V7" s="221">
        <f>'Quadre d’àrees de projecte  '!S12</f>
        <v>12</v>
      </c>
      <c r="W7" s="221">
        <f t="shared" si="3"/>
        <v>24</v>
      </c>
      <c r="Y7" s="223"/>
      <c r="Z7" s="224"/>
      <c r="AA7" s="226"/>
      <c r="AB7" s="224"/>
      <c r="AC7" s="227"/>
      <c r="AD7" s="225" t="s">
        <v>43</v>
      </c>
      <c r="AE7" s="73">
        <f>SUM(AE5:AE6)</f>
        <v>96</v>
      </c>
      <c r="AF7" s="222"/>
      <c r="AG7" s="213"/>
      <c r="AH7" s="208"/>
      <c r="AI7" s="208"/>
      <c r="AJ7" s="208"/>
      <c r="AK7" s="208"/>
      <c r="AL7" s="222"/>
    </row>
    <row r="8" spans="1:38" ht="22.5" x14ac:dyDescent="0.2">
      <c r="A8" s="205" t="s">
        <v>89</v>
      </c>
      <c r="B8" s="206" t="s">
        <v>90</v>
      </c>
      <c r="C8" s="206" t="str">
        <f>$B$33</f>
        <v>Zon. ús públic</v>
      </c>
      <c r="D8" s="207">
        <f>'Quadre d’àrees de projecte  '!C9</f>
        <v>4.0810000000000004</v>
      </c>
      <c r="E8" s="206">
        <f>$C$33</f>
        <v>2</v>
      </c>
      <c r="F8" s="207">
        <f t="shared" si="0"/>
        <v>2.0405000000000002</v>
      </c>
      <c r="G8" s="206">
        <f>'Quadre d’àrees de projecte  '!D9</f>
        <v>10</v>
      </c>
      <c r="H8" s="221">
        <f t="shared" si="1"/>
        <v>20.405000000000001</v>
      </c>
      <c r="I8" s="222"/>
      <c r="J8" s="221">
        <f>H8/2</f>
        <v>10.202500000000001</v>
      </c>
      <c r="K8" s="221">
        <f>J8</f>
        <v>10.202500000000001</v>
      </c>
      <c r="L8" s="221"/>
      <c r="M8" s="221"/>
      <c r="N8" s="221"/>
      <c r="P8" s="205" t="s">
        <v>103</v>
      </c>
      <c r="Q8" s="206" t="s">
        <v>86</v>
      </c>
      <c r="R8" s="206" t="str">
        <f>$B$27</f>
        <v>Zon. allotjament llits*</v>
      </c>
      <c r="S8" s="207">
        <f>'Quadre d’àrees de projecte  '!R14</f>
        <v>13.79</v>
      </c>
      <c r="T8" s="206">
        <f t="shared" si="2"/>
        <v>6.8949999999999996</v>
      </c>
      <c r="U8" s="221">
        <v>2</v>
      </c>
      <c r="V8" s="221">
        <f>'Quadre d’àrees de projecte  '!S14</f>
        <v>2</v>
      </c>
      <c r="W8" s="221">
        <f t="shared" si="3"/>
        <v>4</v>
      </c>
      <c r="Y8" s="67"/>
      <c r="Z8" s="27"/>
      <c r="AA8" s="214"/>
      <c r="AB8" s="208"/>
      <c r="AC8" s="222"/>
      <c r="AD8" s="222"/>
      <c r="AE8" s="222"/>
      <c r="AF8" s="222"/>
      <c r="AG8" s="67"/>
      <c r="AH8" s="27"/>
      <c r="AI8" s="27"/>
      <c r="AJ8" s="27"/>
      <c r="AK8" s="27"/>
      <c r="AL8" s="77"/>
    </row>
    <row r="9" spans="1:38" ht="22.5" x14ac:dyDescent="0.2">
      <c r="A9" s="205" t="s">
        <v>92</v>
      </c>
      <c r="B9" s="206" t="s">
        <v>90</v>
      </c>
      <c r="C9" s="206" t="str">
        <f>$B$33</f>
        <v>Zon. ús públic</v>
      </c>
      <c r="D9" s="207">
        <f>'Quadre d’àrees de projecte  '!C10</f>
        <v>6.39</v>
      </c>
      <c r="E9" s="206">
        <f>$C$33</f>
        <v>2</v>
      </c>
      <c r="F9" s="207">
        <f t="shared" si="0"/>
        <v>3.1949999999999998</v>
      </c>
      <c r="G9" s="206">
        <f>'Quadre d’àrees de projecte  '!D10</f>
        <v>2</v>
      </c>
      <c r="H9" s="221">
        <f>F9*G9</f>
        <v>6.39</v>
      </c>
      <c r="I9" s="222"/>
      <c r="J9" s="221">
        <f>H9/2</f>
        <v>3.1949999999999998</v>
      </c>
      <c r="K9" s="221">
        <f>J9</f>
        <v>3.1949999999999998</v>
      </c>
      <c r="L9" s="221"/>
      <c r="M9" s="221"/>
      <c r="N9" s="221"/>
      <c r="P9" s="205" t="s">
        <v>117</v>
      </c>
      <c r="Q9" s="206" t="s">
        <v>86</v>
      </c>
      <c r="R9" s="206" t="str">
        <f>$B$27</f>
        <v>Zon. allotjament llits*</v>
      </c>
      <c r="S9" s="207">
        <f>'Quadre d’àrees de projecte  '!R19</f>
        <v>7.18</v>
      </c>
      <c r="T9" s="206">
        <f t="shared" si="2"/>
        <v>3.59</v>
      </c>
      <c r="U9" s="221">
        <v>2</v>
      </c>
      <c r="V9" s="221">
        <f>'Quadre d’àrees de projecte  '!S19</f>
        <v>4</v>
      </c>
      <c r="W9" s="221">
        <f t="shared" si="3"/>
        <v>8</v>
      </c>
      <c r="Y9" s="213"/>
      <c r="Z9" s="208"/>
      <c r="AA9" s="214"/>
      <c r="AB9" s="208"/>
      <c r="AC9" s="222"/>
      <c r="AD9" s="222"/>
      <c r="AE9" s="222"/>
      <c r="AF9" s="222"/>
      <c r="AG9" s="204"/>
      <c r="AH9" s="204"/>
      <c r="AI9" s="204"/>
      <c r="AJ9" s="204"/>
      <c r="AK9" s="204"/>
      <c r="AL9" s="203"/>
    </row>
    <row r="10" spans="1:38" ht="10.15" x14ac:dyDescent="0.2">
      <c r="A10" s="205" t="s">
        <v>95</v>
      </c>
      <c r="B10" s="206" t="s">
        <v>96</v>
      </c>
      <c r="C10" s="206" t="str">
        <f>$B$32</f>
        <v>Oficina segons taules</v>
      </c>
      <c r="D10" s="207">
        <f>'Quadre d’àrees de projecte  '!C11</f>
        <v>62.075000000000003</v>
      </c>
      <c r="E10" s="206">
        <f>$C$32</f>
        <v>4</v>
      </c>
      <c r="F10" s="207">
        <f t="shared" si="0"/>
        <v>15.518750000000001</v>
      </c>
      <c r="G10" s="206">
        <f>'Quadre d’àrees de projecte  '!D11</f>
        <v>2</v>
      </c>
      <c r="H10" s="221">
        <f t="shared" si="1"/>
        <v>31.037500000000001</v>
      </c>
      <c r="I10" s="222"/>
      <c r="J10" s="221">
        <f>H10/2</f>
        <v>15.518750000000001</v>
      </c>
      <c r="K10" s="221">
        <f>J10</f>
        <v>15.518750000000001</v>
      </c>
      <c r="L10" s="221"/>
      <c r="M10" s="221"/>
      <c r="N10" s="221"/>
      <c r="V10" s="225" t="s">
        <v>43</v>
      </c>
      <c r="W10" s="73">
        <f>SUM(W5:W9)</f>
        <v>96</v>
      </c>
      <c r="Y10" s="213"/>
      <c r="Z10" s="208"/>
      <c r="AA10" s="27"/>
      <c r="AB10" s="27"/>
      <c r="AC10" s="27"/>
      <c r="AD10" s="74"/>
      <c r="AE10" s="228"/>
      <c r="AF10" s="228"/>
      <c r="AG10" s="67"/>
      <c r="AH10" s="27"/>
      <c r="AI10" s="27"/>
      <c r="AJ10" s="27"/>
      <c r="AK10" s="27"/>
      <c r="AL10" s="77"/>
    </row>
    <row r="11" spans="1:38" ht="10.15" x14ac:dyDescent="0.2">
      <c r="A11" s="205" t="s">
        <v>98</v>
      </c>
      <c r="B11" s="206" t="s">
        <v>71</v>
      </c>
      <c r="C11" s="206" t="str">
        <f>$B$31</f>
        <v>Zon. d'oficina</v>
      </c>
      <c r="D11" s="207">
        <f>'Quadre d’àrees de projecte  '!C12</f>
        <v>11.85</v>
      </c>
      <c r="E11" s="206">
        <f>$C$31</f>
        <v>10</v>
      </c>
      <c r="F11" s="207">
        <f t="shared" si="0"/>
        <v>1.1850000000000001</v>
      </c>
      <c r="G11" s="206">
        <f>'Quadre d’àrees de projecte  '!D12</f>
        <v>1</v>
      </c>
      <c r="H11" s="221">
        <f t="shared" si="1"/>
        <v>1.1850000000000001</v>
      </c>
      <c r="I11" s="222"/>
      <c r="J11" s="221">
        <f>H11</f>
        <v>1.1850000000000001</v>
      </c>
      <c r="K11" s="221"/>
      <c r="L11" s="221"/>
      <c r="M11" s="221"/>
      <c r="N11" s="221"/>
      <c r="P11" s="29"/>
      <c r="W11" s="29"/>
      <c r="Y11" s="213"/>
      <c r="Z11" s="208"/>
      <c r="AA11" s="208"/>
      <c r="AB11" s="208"/>
      <c r="AC11" s="208"/>
      <c r="AD11" s="222"/>
      <c r="AE11" s="27"/>
      <c r="AG11" s="67"/>
      <c r="AH11" s="27"/>
      <c r="AI11" s="27"/>
      <c r="AJ11" s="27"/>
      <c r="AK11" s="27"/>
      <c r="AL11" s="77"/>
    </row>
    <row r="12" spans="1:38" ht="10.15" x14ac:dyDescent="0.2">
      <c r="A12" s="205" t="s">
        <v>104</v>
      </c>
      <c r="B12" s="206" t="s">
        <v>105</v>
      </c>
      <c r="C12" s="206" t="str">
        <f>$B$31</f>
        <v>Zon. d'oficina</v>
      </c>
      <c r="D12" s="207">
        <f>'Quadre d’àrees de projecte  '!C15</f>
        <v>9.16</v>
      </c>
      <c r="E12" s="206">
        <f>$C$31</f>
        <v>10</v>
      </c>
      <c r="F12" s="207">
        <f t="shared" si="0"/>
        <v>0.91600000000000004</v>
      </c>
      <c r="G12" s="206">
        <f>'Quadre d’àrees de projecte  '!D15</f>
        <v>1</v>
      </c>
      <c r="H12" s="221">
        <f t="shared" si="1"/>
        <v>0.91600000000000004</v>
      </c>
      <c r="I12" s="222"/>
      <c r="J12" s="221">
        <f>H12</f>
        <v>0.91600000000000004</v>
      </c>
      <c r="K12" s="221"/>
      <c r="L12" s="221"/>
      <c r="M12" s="221"/>
      <c r="N12" s="221"/>
      <c r="P12" s="27"/>
      <c r="Q12" s="27"/>
      <c r="R12" s="27"/>
      <c r="S12" s="27"/>
      <c r="T12" s="27"/>
      <c r="U12" s="27"/>
      <c r="V12" s="27"/>
      <c r="W12" s="27"/>
      <c r="Y12" s="67"/>
      <c r="Z12" s="27"/>
      <c r="AA12" s="27"/>
      <c r="AB12" s="27"/>
      <c r="AC12" s="27"/>
      <c r="AD12" s="77"/>
      <c r="AE12" s="27"/>
      <c r="AG12" s="67"/>
      <c r="AH12" s="27"/>
      <c r="AI12" s="27"/>
      <c r="AJ12" s="27"/>
      <c r="AK12" s="27"/>
      <c r="AL12" s="77"/>
    </row>
    <row r="13" spans="1:38" ht="10.15" x14ac:dyDescent="0.2">
      <c r="A13" s="205" t="s">
        <v>108</v>
      </c>
      <c r="B13" s="206" t="s">
        <v>109</v>
      </c>
      <c r="C13" s="206" t="str">
        <f>$B$31</f>
        <v>Zon. d'oficina</v>
      </c>
      <c r="D13" s="207">
        <f>'Quadre d’àrees de projecte  '!C16</f>
        <v>9.16</v>
      </c>
      <c r="E13" s="206">
        <f>$C$31</f>
        <v>10</v>
      </c>
      <c r="F13" s="207">
        <f t="shared" si="0"/>
        <v>0.91600000000000004</v>
      </c>
      <c r="G13" s="206">
        <f>'Quadre d’àrees de projecte  '!D16</f>
        <v>1</v>
      </c>
      <c r="H13" s="221">
        <f t="shared" si="1"/>
        <v>0.91600000000000004</v>
      </c>
      <c r="I13" s="222"/>
      <c r="J13" s="221">
        <f>H13</f>
        <v>0.91600000000000004</v>
      </c>
      <c r="K13" s="221"/>
      <c r="L13" s="221"/>
      <c r="M13" s="221"/>
      <c r="N13" s="221"/>
      <c r="P13" s="27"/>
      <c r="Q13" s="27"/>
      <c r="R13" s="27"/>
      <c r="S13" s="27"/>
      <c r="T13" s="27"/>
      <c r="U13" s="27"/>
      <c r="V13" s="27"/>
      <c r="W13" s="27"/>
      <c r="Y13" s="213"/>
      <c r="Z13" s="208"/>
      <c r="AA13" s="208"/>
      <c r="AB13" s="208"/>
      <c r="AC13" s="208"/>
      <c r="AD13" s="222"/>
      <c r="AG13" s="67"/>
      <c r="AH13" s="27"/>
      <c r="AI13" s="27"/>
      <c r="AJ13" s="27"/>
      <c r="AK13" s="27"/>
      <c r="AL13" s="77"/>
    </row>
    <row r="14" spans="1:38" ht="10.15" x14ac:dyDescent="0.2">
      <c r="A14" s="205" t="s">
        <v>111</v>
      </c>
      <c r="B14" s="206" t="s">
        <v>71</v>
      </c>
      <c r="C14" s="206" t="str">
        <f>$B$31</f>
        <v>Zon. d'oficina</v>
      </c>
      <c r="D14" s="207">
        <f>'Quadre d’àrees de projecte  '!C17</f>
        <v>17.23</v>
      </c>
      <c r="E14" s="206">
        <f>$C$33</f>
        <v>2</v>
      </c>
      <c r="F14" s="207">
        <f t="shared" si="0"/>
        <v>8.6150000000000002</v>
      </c>
      <c r="G14" s="206">
        <f>'Quadre d’àrees de projecte  '!D17</f>
        <v>1</v>
      </c>
      <c r="H14" s="221">
        <f t="shared" si="1"/>
        <v>8.6150000000000002</v>
      </c>
      <c r="I14" s="222"/>
      <c r="J14" s="221"/>
      <c r="K14" s="221"/>
      <c r="L14" s="221">
        <f>H14</f>
        <v>8.6150000000000002</v>
      </c>
      <c r="M14" s="221"/>
      <c r="N14" s="221"/>
      <c r="P14" s="27"/>
      <c r="Q14" s="27"/>
      <c r="R14" s="27"/>
      <c r="S14" s="27"/>
      <c r="T14" s="27"/>
      <c r="U14" s="27"/>
      <c r="V14" s="27"/>
      <c r="W14" s="27"/>
      <c r="Y14" s="213"/>
      <c r="Z14" s="208"/>
      <c r="AA14" s="208"/>
      <c r="AB14" s="208"/>
      <c r="AC14" s="208"/>
      <c r="AD14" s="222"/>
    </row>
    <row r="15" spans="1:38" ht="10.15" x14ac:dyDescent="0.2">
      <c r="A15" s="205" t="s">
        <v>113</v>
      </c>
      <c r="B15" s="206" t="s">
        <v>114</v>
      </c>
      <c r="C15" s="206" t="str">
        <f>$B$33</f>
        <v>Zon. ús públic</v>
      </c>
      <c r="D15" s="207">
        <f>'Quadre d’àrees de projecte  '!C18</f>
        <v>8.31</v>
      </c>
      <c r="E15" s="206">
        <f>$C$33</f>
        <v>2</v>
      </c>
      <c r="F15" s="207">
        <f t="shared" si="0"/>
        <v>4.1550000000000002</v>
      </c>
      <c r="G15" s="206">
        <f>'Quadre d’àrees de projecte  '!D18</f>
        <v>1</v>
      </c>
      <c r="H15" s="221">
        <f t="shared" si="1"/>
        <v>4.1550000000000002</v>
      </c>
      <c r="I15" s="222"/>
      <c r="J15" s="221"/>
      <c r="K15" s="221"/>
      <c r="L15" s="221">
        <f t="shared" ref="L15:L17" si="6">H15</f>
        <v>4.1550000000000002</v>
      </c>
      <c r="M15" s="221"/>
      <c r="N15" s="221"/>
      <c r="P15" s="27"/>
      <c r="Q15" s="27"/>
      <c r="R15" s="27"/>
      <c r="S15" s="27"/>
      <c r="T15" s="27"/>
      <c r="U15" s="27"/>
      <c r="V15" s="27"/>
      <c r="W15" s="27"/>
      <c r="Y15" s="213"/>
      <c r="Z15" s="208"/>
      <c r="AA15" s="208"/>
      <c r="AB15" s="208"/>
      <c r="AC15" s="208"/>
      <c r="AD15" s="222"/>
    </row>
    <row r="16" spans="1:38" ht="10.15" x14ac:dyDescent="0.2">
      <c r="A16" s="205" t="s">
        <v>113</v>
      </c>
      <c r="B16" s="206" t="s">
        <v>116</v>
      </c>
      <c r="C16" s="206" t="str">
        <f>$B$31</f>
        <v>Zon. d'oficina</v>
      </c>
      <c r="D16" s="207">
        <f>'Quadre d’àrees de projecte  '!C19</f>
        <v>10.3</v>
      </c>
      <c r="E16" s="206">
        <f>$C$31</f>
        <v>10</v>
      </c>
      <c r="F16" s="207">
        <f t="shared" si="0"/>
        <v>1.03</v>
      </c>
      <c r="G16" s="206">
        <f>'Quadre d’àrees de projecte  '!D19</f>
        <v>1</v>
      </c>
      <c r="H16" s="221">
        <f t="shared" si="1"/>
        <v>1.03</v>
      </c>
      <c r="I16" s="222"/>
      <c r="J16" s="221"/>
      <c r="K16" s="221"/>
      <c r="L16" s="221">
        <f t="shared" si="6"/>
        <v>1.03</v>
      </c>
      <c r="M16" s="221"/>
      <c r="N16" s="221"/>
      <c r="P16" s="27"/>
      <c r="Q16" s="27"/>
      <c r="R16" s="27"/>
      <c r="S16" s="27"/>
      <c r="T16" s="27"/>
      <c r="U16" s="27"/>
      <c r="V16" s="27"/>
      <c r="W16" s="27"/>
      <c r="Y16" s="204" t="s">
        <v>0</v>
      </c>
      <c r="Z16" s="204" t="s">
        <v>0</v>
      </c>
      <c r="AA16" s="204"/>
      <c r="AB16" s="204"/>
      <c r="AC16" s="204"/>
      <c r="AD16" s="77"/>
    </row>
    <row r="17" spans="1:30" ht="10.15" x14ac:dyDescent="0.2">
      <c r="A17" s="205" t="s">
        <v>118</v>
      </c>
      <c r="B17" s="206" t="s">
        <v>119</v>
      </c>
      <c r="C17" s="206" t="str">
        <f>$B$33</f>
        <v>Zon. ús públic</v>
      </c>
      <c r="D17" s="207">
        <f>'Quadre d’àrees de projecte  '!C20</f>
        <v>15.07</v>
      </c>
      <c r="E17" s="206">
        <f>$C$33</f>
        <v>2</v>
      </c>
      <c r="F17" s="207">
        <f t="shared" si="0"/>
        <v>7.5350000000000001</v>
      </c>
      <c r="G17" s="206">
        <f>'Quadre d’àrees de projecte  '!D20</f>
        <v>1</v>
      </c>
      <c r="H17" s="221">
        <f t="shared" si="1"/>
        <v>7.5350000000000001</v>
      </c>
      <c r="I17" s="222"/>
      <c r="J17" s="221"/>
      <c r="K17" s="221"/>
      <c r="L17" s="221">
        <f t="shared" si="6"/>
        <v>7.5350000000000001</v>
      </c>
      <c r="M17" s="221"/>
      <c r="N17" s="221"/>
      <c r="P17" s="213"/>
      <c r="Q17" s="208"/>
      <c r="R17" s="208"/>
      <c r="S17" s="208"/>
      <c r="T17" s="208"/>
      <c r="U17" s="208"/>
      <c r="V17" s="208"/>
      <c r="W17" s="222"/>
      <c r="Y17" s="213"/>
      <c r="Z17" s="208"/>
      <c r="AA17" s="208"/>
      <c r="AB17" s="208"/>
      <c r="AC17" s="208"/>
      <c r="AD17" s="222"/>
    </row>
    <row r="18" spans="1:30" ht="10.15" x14ac:dyDescent="0.2">
      <c r="A18" s="205" t="s">
        <v>11</v>
      </c>
      <c r="B18" s="206" t="s">
        <v>105</v>
      </c>
      <c r="C18" s="206" t="str">
        <f>$B$36</f>
        <v>Arees internes</v>
      </c>
      <c r="D18" s="207">
        <f>'Quadre d’àrees de projecte  '!C29</f>
        <v>13.91</v>
      </c>
      <c r="E18" s="206">
        <f>$C$36</f>
        <v>5</v>
      </c>
      <c r="F18" s="207">
        <f t="shared" si="0"/>
        <v>2.782</v>
      </c>
      <c r="G18" s="206">
        <f>'Quadre d’àrees de projecte  '!D29</f>
        <v>1</v>
      </c>
      <c r="H18" s="221">
        <f t="shared" si="1"/>
        <v>2.782</v>
      </c>
      <c r="I18" s="222"/>
      <c r="J18" s="221"/>
      <c r="K18" s="221"/>
      <c r="L18" s="221"/>
      <c r="M18" s="221"/>
      <c r="N18" s="221">
        <f>H18</f>
        <v>2.782</v>
      </c>
      <c r="P18" s="213"/>
      <c r="Q18" s="208"/>
      <c r="R18" s="208"/>
      <c r="S18" s="208"/>
      <c r="T18" s="208"/>
      <c r="U18" s="208"/>
      <c r="V18" s="208"/>
      <c r="W18" s="222"/>
      <c r="Y18" s="67"/>
      <c r="Z18" s="27"/>
      <c r="AA18" s="27"/>
      <c r="AB18" s="27"/>
      <c r="AC18" s="27"/>
      <c r="AD18" s="77"/>
    </row>
    <row r="19" spans="1:30" ht="10.15" x14ac:dyDescent="0.2">
      <c r="A19" s="205" t="s">
        <v>12</v>
      </c>
      <c r="B19" s="206" t="s">
        <v>19</v>
      </c>
      <c r="C19" s="206" t="str">
        <f>$B$35</f>
        <v>Assegut bars</v>
      </c>
      <c r="D19" s="207">
        <f>'Quadre d’àrees de projecte  '!C30</f>
        <v>97.71</v>
      </c>
      <c r="E19" s="206">
        <f>$C$35</f>
        <v>1.5</v>
      </c>
      <c r="F19" s="207">
        <f t="shared" si="0"/>
        <v>65.14</v>
      </c>
      <c r="G19" s="206">
        <f>'Quadre d’àrees de projecte  '!D30</f>
        <v>1</v>
      </c>
      <c r="H19" s="221">
        <f t="shared" si="1"/>
        <v>65.14</v>
      </c>
      <c r="I19" s="222"/>
      <c r="J19" s="221"/>
      <c r="K19" s="221"/>
      <c r="L19" s="221"/>
      <c r="M19" s="221"/>
      <c r="N19" s="221">
        <f>H19</f>
        <v>65.14</v>
      </c>
      <c r="P19" s="27"/>
      <c r="Q19" s="27"/>
      <c r="R19" s="27"/>
      <c r="S19" s="27"/>
      <c r="T19" s="27"/>
      <c r="U19" s="27"/>
      <c r="V19" s="27"/>
      <c r="W19" s="27"/>
      <c r="Y19" s="67"/>
      <c r="Z19" s="27"/>
      <c r="AA19" s="27"/>
      <c r="AB19" s="27"/>
      <c r="AC19" s="27"/>
      <c r="AD19" s="77"/>
    </row>
    <row r="20" spans="1:30" ht="10.15" x14ac:dyDescent="0.2">
      <c r="A20" s="205" t="s">
        <v>14</v>
      </c>
      <c r="B20" s="206" t="s">
        <v>134</v>
      </c>
      <c r="C20" s="206" t="str">
        <f>$B$28</f>
        <v>Ús múltiple</v>
      </c>
      <c r="D20" s="207">
        <f>'Quadre d’àrees de projecte  '!C35</f>
        <v>74.05</v>
      </c>
      <c r="E20" s="206">
        <f>$C$28</f>
        <v>1</v>
      </c>
      <c r="F20" s="207">
        <f t="shared" si="0"/>
        <v>74.05</v>
      </c>
      <c r="G20" s="206">
        <f>'Quadre d’àrees de projecte  '!D35</f>
        <v>1</v>
      </c>
      <c r="H20" s="221">
        <f t="shared" si="1"/>
        <v>74.05</v>
      </c>
      <c r="I20" s="222"/>
      <c r="J20" s="221"/>
      <c r="K20" s="221"/>
      <c r="L20" s="221"/>
      <c r="M20" s="221">
        <f>H20</f>
        <v>74.05</v>
      </c>
      <c r="N20" s="221"/>
      <c r="P20" s="213"/>
      <c r="Q20" s="208"/>
      <c r="R20" s="208"/>
      <c r="S20" s="208"/>
      <c r="T20" s="208"/>
      <c r="U20" s="208"/>
      <c r="V20" s="208"/>
      <c r="W20" s="222"/>
      <c r="Y20" s="67"/>
      <c r="Z20" s="27"/>
      <c r="AA20" s="27"/>
      <c r="AB20" s="27"/>
      <c r="AC20" s="27"/>
      <c r="AD20" s="77"/>
    </row>
    <row r="21" spans="1:30" ht="10.15" x14ac:dyDescent="0.2">
      <c r="A21" s="223"/>
      <c r="B21" s="224"/>
      <c r="C21" s="224"/>
      <c r="D21" s="224"/>
      <c r="E21" s="224"/>
      <c r="G21" s="225" t="s">
        <v>43</v>
      </c>
      <c r="H21" s="73">
        <f>SUM(H5:H20)</f>
        <v>265.14150000000001</v>
      </c>
      <c r="I21" s="76"/>
      <c r="J21" s="73">
        <f t="shared" ref="J21:N21" si="7">SUM(J5:J20)</f>
        <v>53.093249999999998</v>
      </c>
      <c r="K21" s="73">
        <f t="shared" si="7"/>
        <v>48.741249999999994</v>
      </c>
      <c r="L21" s="73">
        <f t="shared" si="7"/>
        <v>21.335000000000001</v>
      </c>
      <c r="M21" s="73">
        <f>SUM(M5:M20)</f>
        <v>74.05</v>
      </c>
      <c r="N21" s="73">
        <f t="shared" si="7"/>
        <v>67.921999999999997</v>
      </c>
      <c r="O21" s="229">
        <f>SUM(J21:N21)</f>
        <v>265.14149999999995</v>
      </c>
      <c r="P21" s="213"/>
      <c r="Q21" s="208"/>
      <c r="R21" s="208"/>
      <c r="S21" s="208"/>
      <c r="T21" s="208"/>
      <c r="U21" s="208"/>
      <c r="V21" s="208"/>
      <c r="W21" s="222"/>
      <c r="Y21" s="67"/>
      <c r="Z21" s="27"/>
      <c r="AA21" s="27"/>
      <c r="AB21" s="27"/>
      <c r="AC21" s="27"/>
      <c r="AD21" s="77"/>
    </row>
    <row r="22" spans="1:30" ht="10.15" x14ac:dyDescent="0.2">
      <c r="A22" s="213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P22" s="213"/>
      <c r="Q22" s="208"/>
      <c r="R22" s="208"/>
      <c r="S22" s="208"/>
      <c r="T22" s="208"/>
      <c r="U22" s="208"/>
      <c r="V22" s="208"/>
      <c r="W22" s="222"/>
      <c r="Y22" s="67"/>
      <c r="Z22" s="27"/>
      <c r="AA22" s="27"/>
      <c r="AB22" s="27"/>
      <c r="AC22" s="27"/>
      <c r="AD22" s="77"/>
    </row>
    <row r="23" spans="1:30" ht="10.15" x14ac:dyDescent="0.2">
      <c r="B23" s="192" t="s">
        <v>62</v>
      </c>
      <c r="C23" s="192"/>
      <c r="D23" s="197"/>
      <c r="E23" s="197"/>
      <c r="F23" s="197"/>
    </row>
    <row r="24" spans="1:30" ht="10.15" x14ac:dyDescent="0.2">
      <c r="B24" s="29" t="s">
        <v>281</v>
      </c>
      <c r="C24" s="35">
        <v>0</v>
      </c>
      <c r="D24" s="35"/>
      <c r="E24" s="35"/>
      <c r="F24" s="35"/>
    </row>
    <row r="25" spans="1:30" ht="10.15" x14ac:dyDescent="0.2">
      <c r="B25" s="192" t="s">
        <v>282</v>
      </c>
      <c r="C25" s="192"/>
      <c r="D25" s="197"/>
      <c r="E25" s="197"/>
      <c r="F25" s="197"/>
    </row>
    <row r="26" spans="1:30" ht="10.15" x14ac:dyDescent="0.2">
      <c r="B26" s="34" t="s">
        <v>283</v>
      </c>
      <c r="C26" s="35">
        <v>20</v>
      </c>
      <c r="D26" s="35"/>
      <c r="E26" s="35"/>
      <c r="F26" s="35"/>
    </row>
    <row r="27" spans="1:30" ht="10.15" x14ac:dyDescent="0.2">
      <c r="B27" s="29" t="s">
        <v>293</v>
      </c>
      <c r="C27" s="35">
        <v>3.7</v>
      </c>
      <c r="D27" s="35"/>
      <c r="E27" s="35"/>
      <c r="F27" s="35"/>
    </row>
    <row r="28" spans="1:30" ht="10.15" x14ac:dyDescent="0.2">
      <c r="B28" s="34" t="s">
        <v>284</v>
      </c>
      <c r="C28" s="35">
        <v>1</v>
      </c>
      <c r="D28" s="35"/>
      <c r="E28" s="35"/>
      <c r="F28" s="35"/>
    </row>
    <row r="29" spans="1:30" ht="10.15" x14ac:dyDescent="0.2">
      <c r="B29" s="34" t="s">
        <v>285</v>
      </c>
      <c r="C29" s="35">
        <v>2</v>
      </c>
      <c r="D29" s="35"/>
      <c r="E29" s="35"/>
      <c r="F29" s="35"/>
    </row>
    <row r="30" spans="1:30" ht="10.15" x14ac:dyDescent="0.2">
      <c r="B30" s="192" t="s">
        <v>286</v>
      </c>
      <c r="C30" s="192"/>
      <c r="D30" s="197"/>
      <c r="E30" s="197"/>
      <c r="F30" s="197"/>
    </row>
    <row r="31" spans="1:30" ht="10.15" x14ac:dyDescent="0.2">
      <c r="B31" s="230" t="s">
        <v>287</v>
      </c>
      <c r="C31" s="35">
        <v>10</v>
      </c>
      <c r="D31" s="35"/>
      <c r="E31" s="35"/>
      <c r="F31" s="35"/>
    </row>
    <row r="32" spans="1:30" ht="10.15" x14ac:dyDescent="0.2">
      <c r="B32" s="230" t="s">
        <v>308</v>
      </c>
      <c r="C32" s="35">
        <v>4</v>
      </c>
      <c r="D32" s="35"/>
      <c r="E32" s="35"/>
      <c r="F32" s="35"/>
    </row>
    <row r="33" spans="1:12" ht="10.15" x14ac:dyDescent="0.2">
      <c r="B33" s="29" t="s">
        <v>288</v>
      </c>
      <c r="C33" s="35">
        <v>2</v>
      </c>
      <c r="D33" s="35"/>
      <c r="E33" s="35"/>
      <c r="F33" s="35"/>
    </row>
    <row r="34" spans="1:12" ht="10.15" x14ac:dyDescent="0.2">
      <c r="B34" s="192" t="s">
        <v>289</v>
      </c>
      <c r="C34" s="192"/>
      <c r="D34" s="197"/>
      <c r="E34" s="197"/>
      <c r="F34" s="197"/>
    </row>
    <row r="35" spans="1:12" ht="10.15" x14ac:dyDescent="0.2">
      <c r="B35" s="34" t="s">
        <v>290</v>
      </c>
      <c r="C35" s="35">
        <v>1.5</v>
      </c>
      <c r="D35" s="35"/>
      <c r="E35" s="35"/>
      <c r="F35" s="35"/>
    </row>
    <row r="36" spans="1:12" ht="10.15" x14ac:dyDescent="0.2">
      <c r="B36" s="29" t="s">
        <v>291</v>
      </c>
      <c r="C36" s="56">
        <v>5</v>
      </c>
      <c r="D36" s="56"/>
      <c r="E36" s="56"/>
      <c r="F36" s="56"/>
    </row>
    <row r="37" spans="1:12" ht="10.15" x14ac:dyDescent="0.2">
      <c r="B37" s="231" t="s">
        <v>294</v>
      </c>
      <c r="C37" s="231"/>
      <c r="D37" s="231"/>
      <c r="E37" s="231"/>
      <c r="F37" s="231"/>
      <c r="G37" s="56"/>
      <c r="H37" s="56"/>
      <c r="I37" s="36"/>
      <c r="J37" s="56"/>
      <c r="K37" s="56"/>
      <c r="L37" s="56"/>
    </row>
    <row r="39" spans="1:12" ht="10.15" x14ac:dyDescent="0.2">
      <c r="A39" s="213"/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08"/>
    </row>
    <row r="40" spans="1:12" ht="10.15" x14ac:dyDescent="0.2">
      <c r="A40" s="213"/>
      <c r="B40" s="208"/>
      <c r="C40" s="208"/>
      <c r="D40" s="208"/>
      <c r="E40" s="208"/>
      <c r="F40" s="208"/>
      <c r="G40" s="208"/>
      <c r="H40" s="208"/>
      <c r="I40" s="208"/>
      <c r="J40" s="208"/>
      <c r="K40" s="208"/>
      <c r="L40" s="208"/>
    </row>
    <row r="41" spans="1:12" ht="10.15" x14ac:dyDescent="0.2">
      <c r="A41" s="213"/>
      <c r="B41" s="208"/>
      <c r="C41" s="208"/>
      <c r="D41" s="208"/>
      <c r="E41" s="208"/>
      <c r="F41" s="208"/>
      <c r="G41" s="208"/>
      <c r="H41" s="208"/>
      <c r="I41" s="208"/>
      <c r="J41" s="208"/>
      <c r="K41" s="208"/>
      <c r="L41" s="208"/>
    </row>
    <row r="42" spans="1:12" ht="10.15" x14ac:dyDescent="0.2">
      <c r="A42" s="213"/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</row>
    <row r="43" spans="1:12" ht="10.15" x14ac:dyDescent="0.2">
      <c r="A43" s="213"/>
      <c r="B43" s="208"/>
      <c r="C43" s="208"/>
      <c r="D43" s="208"/>
      <c r="E43" s="208"/>
      <c r="F43" s="208"/>
      <c r="G43" s="208"/>
      <c r="H43" s="208"/>
      <c r="I43" s="208"/>
      <c r="J43" s="208"/>
      <c r="K43" s="208"/>
      <c r="L43" s="208"/>
    </row>
    <row r="44" spans="1:12" ht="10.15" x14ac:dyDescent="0.2">
      <c r="A44" s="213"/>
      <c r="B44" s="208"/>
      <c r="C44" s="208"/>
      <c r="D44" s="208"/>
      <c r="E44" s="208"/>
      <c r="F44" s="208"/>
      <c r="G44" s="208"/>
      <c r="H44" s="208"/>
      <c r="I44" s="208"/>
      <c r="J44" s="208"/>
      <c r="K44" s="208"/>
      <c r="L44" s="208"/>
    </row>
    <row r="45" spans="1:12" ht="10.15" x14ac:dyDescent="0.2">
      <c r="A45" s="213"/>
      <c r="B45" s="208"/>
      <c r="C45" s="208"/>
      <c r="D45" s="208"/>
      <c r="E45" s="208"/>
      <c r="F45" s="208"/>
      <c r="G45" s="208"/>
      <c r="H45" s="208"/>
      <c r="I45" s="208"/>
      <c r="J45" s="208"/>
      <c r="K45" s="208"/>
      <c r="L45" s="208"/>
    </row>
    <row r="46" spans="1:12" ht="10.15" x14ac:dyDescent="0.2">
      <c r="A46" s="204" t="s">
        <v>0</v>
      </c>
      <c r="B46" s="204" t="s">
        <v>0</v>
      </c>
      <c r="C46" s="204"/>
      <c r="D46" s="204"/>
      <c r="E46" s="204"/>
      <c r="F46" s="204"/>
      <c r="G46" s="204"/>
      <c r="H46" s="204"/>
      <c r="I46" s="204"/>
      <c r="J46" s="204"/>
      <c r="K46" s="204"/>
      <c r="L46" s="204"/>
    </row>
    <row r="47" spans="1:12" ht="10.15" x14ac:dyDescent="0.2">
      <c r="A47" s="67"/>
      <c r="B47" s="27"/>
      <c r="C47" s="27"/>
      <c r="D47" s="27"/>
      <c r="E47" s="27"/>
      <c r="F47" s="27"/>
      <c r="G47" s="27"/>
      <c r="H47" s="27"/>
      <c r="J47" s="27"/>
      <c r="K47" s="27"/>
      <c r="L47" s="27"/>
    </row>
    <row r="48" spans="1:12" ht="10.15" x14ac:dyDescent="0.2">
      <c r="A48" s="67"/>
      <c r="B48" s="27"/>
      <c r="C48" s="27"/>
      <c r="D48" s="27"/>
      <c r="E48" s="27"/>
      <c r="F48" s="27"/>
      <c r="G48" s="27"/>
      <c r="H48" s="27"/>
      <c r="J48" s="27"/>
      <c r="K48" s="27"/>
      <c r="L48" s="27"/>
    </row>
    <row r="49" spans="1:12" ht="10.15" x14ac:dyDescent="0.2">
      <c r="A49" s="67"/>
      <c r="B49" s="27"/>
      <c r="C49" s="27"/>
      <c r="D49" s="27"/>
      <c r="E49" s="27"/>
      <c r="F49" s="27"/>
      <c r="G49" s="27"/>
      <c r="H49" s="27"/>
      <c r="J49" s="27"/>
      <c r="K49" s="27"/>
      <c r="L49" s="27"/>
    </row>
    <row r="50" spans="1:12" ht="10.15" x14ac:dyDescent="0.2">
      <c r="A50" s="67"/>
      <c r="B50" s="27"/>
      <c r="C50" s="27"/>
      <c r="D50" s="27"/>
      <c r="E50" s="27"/>
      <c r="F50" s="27"/>
      <c r="G50" s="27"/>
      <c r="H50" s="27"/>
      <c r="J50" s="27"/>
      <c r="K50" s="27"/>
      <c r="L50" s="27"/>
    </row>
    <row r="51" spans="1:12" ht="10.15" x14ac:dyDescent="0.2">
      <c r="A51" s="67"/>
      <c r="B51" s="27"/>
      <c r="C51" s="27"/>
      <c r="D51" s="27"/>
      <c r="E51" s="27"/>
      <c r="F51" s="27"/>
      <c r="G51" s="27"/>
      <c r="H51" s="27"/>
      <c r="J51" s="27"/>
      <c r="K51" s="27"/>
      <c r="L51" s="27"/>
    </row>
    <row r="52" spans="1:12" ht="10.15" x14ac:dyDescent="0.2">
      <c r="A52" s="67"/>
      <c r="B52" s="27"/>
      <c r="C52" s="27"/>
      <c r="D52" s="27"/>
      <c r="E52" s="27"/>
      <c r="F52" s="27"/>
      <c r="G52" s="27"/>
      <c r="H52" s="27"/>
      <c r="J52" s="27"/>
      <c r="K52" s="27"/>
      <c r="L52" s="27"/>
    </row>
  </sheetData>
  <pageMargins left="0.7" right="0.7" top="0.75" bottom="0.75" header="0.3" footer="0.3"/>
  <pageSetup paperSize="9"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76"/>
  <sheetViews>
    <sheetView topLeftCell="A12" zoomScale="85" zoomScaleNormal="85" workbookViewId="0">
      <selection activeCell="G27" sqref="G27"/>
    </sheetView>
  </sheetViews>
  <sheetFormatPr defaultColWidth="11.5703125" defaultRowHeight="11.25" x14ac:dyDescent="0.2"/>
  <cols>
    <col min="1" max="1" width="4.7109375" style="29" customWidth="1"/>
    <col min="2" max="2" width="4.7109375" style="63" customWidth="1"/>
    <col min="3" max="3" width="20.7109375" style="29" customWidth="1"/>
    <col min="4" max="4" width="14.85546875" style="29" bestFit="1" customWidth="1"/>
    <col min="5" max="5" width="19.28515625" style="57" bestFit="1" customWidth="1"/>
    <col min="6" max="6" width="11.140625" style="29" bestFit="1" customWidth="1"/>
    <col min="7" max="7" width="11.28515625" style="29" bestFit="1" customWidth="1"/>
    <col min="8" max="8" width="11" style="29" bestFit="1" customWidth="1"/>
    <col min="9" max="9" width="12.140625" style="29" bestFit="1" customWidth="1"/>
    <col min="10" max="10" width="13.42578125" style="29" bestFit="1" customWidth="1"/>
    <col min="11" max="11" width="15.85546875" style="29" bestFit="1" customWidth="1"/>
    <col min="12" max="12" width="12.7109375" style="29" bestFit="1" customWidth="1"/>
    <col min="13" max="13" width="8.85546875" style="29" bestFit="1" customWidth="1"/>
    <col min="14" max="14" width="7.140625" style="29" bestFit="1" customWidth="1"/>
    <col min="15" max="15" width="18.5703125" style="29" bestFit="1" customWidth="1"/>
    <col min="16" max="16384" width="11.5703125" style="29"/>
  </cols>
  <sheetData>
    <row r="1" spans="2:15" x14ac:dyDescent="0.2">
      <c r="B1" s="26"/>
      <c r="C1" s="27"/>
      <c r="D1" s="27"/>
      <c r="E1" s="28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2:15" x14ac:dyDescent="0.2">
      <c r="B2" s="30" t="s">
        <v>157</v>
      </c>
      <c r="C2" s="31"/>
      <c r="D2" s="32"/>
      <c r="E2" s="33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2:15" x14ac:dyDescent="0.2">
      <c r="B3" s="34" t="s">
        <v>158</v>
      </c>
      <c r="C3" s="27"/>
      <c r="D3" s="27" t="s">
        <v>159</v>
      </c>
      <c r="E3" s="35" t="s">
        <v>160</v>
      </c>
      <c r="F3" s="36" t="s">
        <v>161</v>
      </c>
      <c r="G3" s="27" t="s">
        <v>162</v>
      </c>
      <c r="H3" s="272" t="s">
        <v>163</v>
      </c>
      <c r="I3" s="272"/>
      <c r="J3" s="27" t="s">
        <v>164</v>
      </c>
      <c r="K3" s="273" t="s">
        <v>165</v>
      </c>
      <c r="L3" s="273"/>
      <c r="M3" s="273" t="s">
        <v>166</v>
      </c>
      <c r="N3" s="273"/>
      <c r="O3" s="27" t="s">
        <v>167</v>
      </c>
    </row>
    <row r="4" spans="2:15" x14ac:dyDescent="0.2">
      <c r="B4" s="37"/>
      <c r="C4" s="32"/>
      <c r="D4" s="32"/>
      <c r="E4" s="33"/>
      <c r="F4" s="38"/>
      <c r="G4" s="32"/>
      <c r="H4" s="32" t="s">
        <v>168</v>
      </c>
      <c r="I4" s="32" t="s">
        <v>169</v>
      </c>
      <c r="J4" s="32"/>
      <c r="K4" s="38" t="s">
        <v>170</v>
      </c>
      <c r="L4" s="32" t="s">
        <v>171</v>
      </c>
      <c r="M4" s="38" t="s">
        <v>170</v>
      </c>
      <c r="N4" s="38" t="s">
        <v>171</v>
      </c>
      <c r="O4" s="38"/>
    </row>
    <row r="5" spans="2:15" x14ac:dyDescent="0.2">
      <c r="B5" s="253" t="s">
        <v>172</v>
      </c>
      <c r="C5" s="253"/>
      <c r="D5" s="253" t="s">
        <v>173</v>
      </c>
      <c r="E5" s="253" t="s">
        <v>174</v>
      </c>
      <c r="F5" s="254">
        <f>Construides!F5</f>
        <v>2409.6</v>
      </c>
      <c r="G5" s="253"/>
      <c r="H5" s="274" t="s">
        <v>175</v>
      </c>
      <c r="I5" s="274" t="s">
        <v>176</v>
      </c>
      <c r="J5" s="276" t="s">
        <v>177</v>
      </c>
      <c r="K5" s="278" t="s">
        <v>178</v>
      </c>
      <c r="L5" s="278" t="s">
        <v>179</v>
      </c>
      <c r="M5" s="274" t="s">
        <v>180</v>
      </c>
      <c r="N5" s="278" t="s">
        <v>181</v>
      </c>
      <c r="O5" s="255" t="s">
        <v>182</v>
      </c>
    </row>
    <row r="6" spans="2:15" x14ac:dyDescent="0.2">
      <c r="B6" s="41"/>
      <c r="C6" s="41"/>
      <c r="D6" s="42" t="s">
        <v>183</v>
      </c>
      <c r="E6" s="42" t="s">
        <v>184</v>
      </c>
      <c r="F6" s="41">
        <v>25</v>
      </c>
      <c r="G6" s="41"/>
      <c r="H6" s="275"/>
      <c r="I6" s="275"/>
      <c r="J6" s="277"/>
      <c r="K6" s="279"/>
      <c r="L6" s="279"/>
      <c r="M6" s="275"/>
      <c r="N6" s="279"/>
      <c r="O6" s="43" t="s">
        <v>185</v>
      </c>
    </row>
    <row r="7" spans="2:15" x14ac:dyDescent="0.2">
      <c r="B7" s="34" t="s">
        <v>186</v>
      </c>
      <c r="C7" s="39"/>
      <c r="D7" s="69"/>
      <c r="E7" s="69"/>
      <c r="F7" s="39"/>
      <c r="G7" s="39"/>
      <c r="H7" s="139"/>
      <c r="I7" s="139"/>
      <c r="J7" s="246"/>
      <c r="K7" s="140"/>
      <c r="L7" s="140"/>
      <c r="M7" s="139"/>
      <c r="N7" s="140"/>
      <c r="O7" s="247"/>
    </row>
    <row r="8" spans="2:15" x14ac:dyDescent="0.2">
      <c r="B8" s="41" t="s">
        <v>320</v>
      </c>
      <c r="C8" s="41"/>
      <c r="D8" s="42"/>
      <c r="E8" s="42"/>
      <c r="F8" s="42" t="s">
        <v>328</v>
      </c>
      <c r="G8" s="41"/>
      <c r="H8" s="136"/>
      <c r="I8" s="136"/>
      <c r="J8" s="256"/>
      <c r="K8" s="257"/>
      <c r="L8" s="257"/>
      <c r="M8" s="136"/>
      <c r="N8" s="257"/>
      <c r="O8" s="258"/>
    </row>
    <row r="9" spans="2:15" x14ac:dyDescent="0.2">
      <c r="B9" s="69" t="s">
        <v>321</v>
      </c>
      <c r="C9" s="69"/>
      <c r="D9" s="69" t="s">
        <v>60</v>
      </c>
      <c r="E9" s="69" t="s">
        <v>323</v>
      </c>
      <c r="F9" s="259">
        <f>'Àrees i ocupació DBSI'!N21</f>
        <v>67.921999999999997</v>
      </c>
      <c r="G9" s="69" t="s">
        <v>326</v>
      </c>
      <c r="H9" s="136" t="s">
        <v>325</v>
      </c>
      <c r="I9" s="136"/>
      <c r="J9" s="256"/>
      <c r="K9" s="257"/>
      <c r="L9" s="257"/>
      <c r="M9" s="136"/>
      <c r="N9" s="257"/>
      <c r="O9" s="258"/>
    </row>
    <row r="10" spans="2:15" x14ac:dyDescent="0.2">
      <c r="B10" s="69" t="s">
        <v>322</v>
      </c>
      <c r="C10" s="69"/>
      <c r="D10" s="69" t="s">
        <v>60</v>
      </c>
      <c r="E10" s="69" t="s">
        <v>324</v>
      </c>
      <c r="F10" s="69">
        <f>Construides!B7</f>
        <v>458.90000000000003</v>
      </c>
      <c r="G10" s="69" t="s">
        <v>327</v>
      </c>
      <c r="H10" s="136" t="s">
        <v>325</v>
      </c>
      <c r="I10" s="136"/>
      <c r="J10" s="256"/>
      <c r="K10" s="257"/>
      <c r="L10" s="257"/>
      <c r="M10" s="136"/>
      <c r="N10" s="257"/>
      <c r="O10" s="258"/>
    </row>
    <row r="11" spans="2:15" x14ac:dyDescent="0.2">
      <c r="B11" s="29"/>
      <c r="C11" s="44"/>
      <c r="D11" s="45"/>
      <c r="E11" s="46"/>
      <c r="F11" s="45"/>
      <c r="G11" s="45"/>
      <c r="H11" s="45"/>
      <c r="I11" s="47"/>
      <c r="J11" s="48"/>
      <c r="K11" s="48"/>
      <c r="O11" s="49"/>
    </row>
    <row r="12" spans="2:15" x14ac:dyDescent="0.2">
      <c r="B12" s="266" t="s">
        <v>187</v>
      </c>
      <c r="C12" s="266"/>
      <c r="D12" s="32"/>
      <c r="E12" s="33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2:15" ht="12.75" x14ac:dyDescent="0.25">
      <c r="B13" s="26"/>
      <c r="C13" s="26" t="s">
        <v>188</v>
      </c>
      <c r="D13" s="36" t="s">
        <v>60</v>
      </c>
      <c r="E13" s="28" t="s">
        <v>189</v>
      </c>
      <c r="F13" s="50">
        <v>13</v>
      </c>
      <c r="G13" s="36" t="s">
        <v>190</v>
      </c>
      <c r="H13" s="36" t="s">
        <v>191</v>
      </c>
      <c r="I13" s="36" t="s">
        <v>192</v>
      </c>
      <c r="J13" s="51" t="s">
        <v>193</v>
      </c>
      <c r="K13" s="36" t="s">
        <v>194</v>
      </c>
      <c r="L13" s="36" t="s">
        <v>195</v>
      </c>
      <c r="M13" s="36" t="s">
        <v>180</v>
      </c>
      <c r="N13" s="36" t="s">
        <v>196</v>
      </c>
      <c r="O13" s="36" t="s">
        <v>197</v>
      </c>
    </row>
    <row r="14" spans="2:15" ht="12.75" x14ac:dyDescent="0.25">
      <c r="B14" s="26"/>
      <c r="C14" s="26" t="s">
        <v>198</v>
      </c>
      <c r="D14" s="36" t="s">
        <v>60</v>
      </c>
      <c r="E14" s="28" t="s">
        <v>189</v>
      </c>
      <c r="F14" s="50">
        <v>13</v>
      </c>
      <c r="G14" s="36" t="s">
        <v>190</v>
      </c>
      <c r="H14" s="36" t="s">
        <v>191</v>
      </c>
      <c r="I14" s="36" t="s">
        <v>192</v>
      </c>
      <c r="J14" s="52" t="s">
        <v>193</v>
      </c>
      <c r="K14" s="36" t="s">
        <v>194</v>
      </c>
      <c r="L14" s="36" t="s">
        <v>195</v>
      </c>
      <c r="M14" s="36" t="s">
        <v>180</v>
      </c>
      <c r="N14" s="36" t="s">
        <v>196</v>
      </c>
      <c r="O14" s="36" t="s">
        <v>197</v>
      </c>
    </row>
    <row r="15" spans="2:15" ht="23.25" x14ac:dyDescent="0.25">
      <c r="B15" s="26"/>
      <c r="C15" s="26" t="s">
        <v>199</v>
      </c>
      <c r="D15" s="36" t="s">
        <v>60</v>
      </c>
      <c r="E15" s="28" t="s">
        <v>200</v>
      </c>
      <c r="F15" s="50">
        <v>8</v>
      </c>
      <c r="G15" s="36" t="s">
        <v>190</v>
      </c>
      <c r="H15" s="36" t="s">
        <v>191</v>
      </c>
      <c r="I15" s="36" t="s">
        <v>192</v>
      </c>
      <c r="J15" s="52" t="s">
        <v>193</v>
      </c>
      <c r="K15" s="36" t="s">
        <v>194</v>
      </c>
      <c r="L15" s="36" t="s">
        <v>195</v>
      </c>
      <c r="M15" s="36" t="s">
        <v>180</v>
      </c>
      <c r="N15" s="36" t="s">
        <v>196</v>
      </c>
      <c r="O15" s="36" t="s">
        <v>197</v>
      </c>
    </row>
    <row r="16" spans="2:15" ht="12.75" x14ac:dyDescent="0.25">
      <c r="B16" s="26"/>
      <c r="C16" s="26" t="s">
        <v>201</v>
      </c>
      <c r="D16" s="36" t="s">
        <v>60</v>
      </c>
      <c r="E16" s="28" t="s">
        <v>202</v>
      </c>
      <c r="F16" s="50">
        <v>16</v>
      </c>
      <c r="G16" s="36" t="s">
        <v>190</v>
      </c>
      <c r="H16" s="36" t="s">
        <v>191</v>
      </c>
      <c r="I16" s="36" t="s">
        <v>192</v>
      </c>
      <c r="J16" s="52" t="s">
        <v>193</v>
      </c>
      <c r="K16" s="36" t="s">
        <v>194</v>
      </c>
      <c r="L16" s="36" t="s">
        <v>195</v>
      </c>
      <c r="M16" s="36" t="s">
        <v>180</v>
      </c>
      <c r="N16" s="36" t="s">
        <v>196</v>
      </c>
      <c r="O16" s="36" t="s">
        <v>197</v>
      </c>
    </row>
    <row r="17" spans="2:15" ht="23.25" x14ac:dyDescent="0.25">
      <c r="B17" s="37"/>
      <c r="C17" s="37" t="s">
        <v>203</v>
      </c>
      <c r="D17" s="38" t="s">
        <v>60</v>
      </c>
      <c r="E17" s="33" t="s">
        <v>204</v>
      </c>
      <c r="F17" s="53">
        <v>5</v>
      </c>
      <c r="G17" s="38" t="s">
        <v>190</v>
      </c>
      <c r="H17" s="38" t="s">
        <v>191</v>
      </c>
      <c r="I17" s="38" t="s">
        <v>192</v>
      </c>
      <c r="J17" s="54" t="s">
        <v>193</v>
      </c>
      <c r="K17" s="38" t="s">
        <v>194</v>
      </c>
      <c r="L17" s="38" t="s">
        <v>195</v>
      </c>
      <c r="M17" s="38" t="s">
        <v>180</v>
      </c>
      <c r="N17" s="38" t="s">
        <v>196</v>
      </c>
      <c r="O17" s="38" t="s">
        <v>197</v>
      </c>
    </row>
    <row r="18" spans="2:15" x14ac:dyDescent="0.2">
      <c r="B18" s="248"/>
      <c r="C18" s="248"/>
      <c r="D18" s="138"/>
      <c r="E18" s="249"/>
      <c r="F18" s="138"/>
      <c r="G18" s="138"/>
      <c r="H18" s="138"/>
      <c r="I18" s="250"/>
      <c r="J18" s="138"/>
      <c r="K18" s="251"/>
      <c r="L18" s="252"/>
      <c r="M18" s="252"/>
      <c r="N18" s="252"/>
      <c r="O18" s="252"/>
    </row>
    <row r="19" spans="2:15" x14ac:dyDescent="0.2">
      <c r="B19" s="267" t="s">
        <v>205</v>
      </c>
      <c r="C19" s="267"/>
      <c r="D19" s="38"/>
      <c r="E19" s="33"/>
      <c r="F19" s="38"/>
      <c r="G19" s="38"/>
      <c r="H19" s="38"/>
      <c r="I19" s="61"/>
      <c r="J19" s="38"/>
      <c r="K19" s="141"/>
      <c r="L19" s="32"/>
      <c r="M19" s="32"/>
      <c r="N19" s="32"/>
      <c r="O19" s="32" t="s">
        <v>206</v>
      </c>
    </row>
    <row r="20" spans="2:15" ht="12.75" x14ac:dyDescent="0.25">
      <c r="B20" s="37"/>
      <c r="C20" s="37" t="s">
        <v>207</v>
      </c>
      <c r="D20" s="38" t="s">
        <v>173</v>
      </c>
      <c r="E20" s="33" t="s">
        <v>73</v>
      </c>
      <c r="F20" s="60">
        <f>G41</f>
        <v>81.7</v>
      </c>
      <c r="G20" s="32"/>
      <c r="H20" s="38" t="s">
        <v>208</v>
      </c>
      <c r="I20" s="61" t="s">
        <v>209</v>
      </c>
      <c r="J20" s="54" t="s">
        <v>210</v>
      </c>
      <c r="K20" s="62" t="s">
        <v>194</v>
      </c>
      <c r="L20" s="38" t="s">
        <v>211</v>
      </c>
      <c r="M20" s="32" t="s">
        <v>180</v>
      </c>
      <c r="N20" s="62" t="s">
        <v>196</v>
      </c>
      <c r="O20" s="32" t="s">
        <v>212</v>
      </c>
    </row>
    <row r="21" spans="2:15" x14ac:dyDescent="0.2">
      <c r="C21" s="63"/>
      <c r="D21" s="56"/>
      <c r="F21" s="56"/>
      <c r="G21" s="56"/>
      <c r="H21" s="56"/>
      <c r="I21" s="58"/>
      <c r="J21" s="58"/>
      <c r="K21" s="56"/>
      <c r="L21" s="59"/>
      <c r="M21" s="27"/>
      <c r="N21" s="27"/>
    </row>
    <row r="22" spans="2:15" x14ac:dyDescent="0.2">
      <c r="B22" s="37"/>
      <c r="C22" s="30" t="s">
        <v>213</v>
      </c>
      <c r="D22" s="32"/>
      <c r="E22" s="28"/>
      <c r="F22" s="27"/>
      <c r="G22" s="27"/>
      <c r="H22" s="27"/>
      <c r="I22" s="27"/>
      <c r="J22" s="27"/>
      <c r="K22" s="27"/>
      <c r="L22" s="27"/>
    </row>
    <row r="23" spans="2:15" x14ac:dyDescent="0.2">
      <c r="B23" s="64">
        <v>0</v>
      </c>
      <c r="C23" s="64" t="s">
        <v>214</v>
      </c>
      <c r="D23" s="65">
        <f>SUM(D24:D28)</f>
        <v>265.14149999999995</v>
      </c>
      <c r="E23" s="137"/>
      <c r="F23" s="35"/>
      <c r="G23" s="27"/>
      <c r="H23" s="27"/>
      <c r="I23" s="35"/>
      <c r="J23" s="35"/>
    </row>
    <row r="24" spans="2:15" x14ac:dyDescent="0.2">
      <c r="B24" s="67"/>
      <c r="C24" s="27" t="s">
        <v>215</v>
      </c>
      <c r="D24" s="68">
        <f>'Àrees i ocupació DBSI'!J21</f>
        <v>53.093249999999998</v>
      </c>
      <c r="E24" s="137"/>
      <c r="F24" s="35"/>
      <c r="G24" s="27"/>
      <c r="H24" s="27"/>
      <c r="I24" s="35"/>
      <c r="J24" s="35"/>
    </row>
    <row r="25" spans="2:15" x14ac:dyDescent="0.2">
      <c r="B25" s="67"/>
      <c r="C25" s="27" t="s">
        <v>216</v>
      </c>
      <c r="D25" s="68">
        <f>'Àrees i ocupació DBSI'!K21</f>
        <v>48.741249999999994</v>
      </c>
      <c r="E25" s="137"/>
      <c r="F25" s="35"/>
      <c r="G25" s="27"/>
      <c r="H25" s="27"/>
      <c r="I25" s="35"/>
      <c r="J25" s="35"/>
    </row>
    <row r="26" spans="2:15" x14ac:dyDescent="0.2">
      <c r="B26" s="67"/>
      <c r="C26" s="69" t="s">
        <v>217</v>
      </c>
      <c r="D26" s="68">
        <f>'Àrees i ocupació DBSI'!L21</f>
        <v>21.335000000000001</v>
      </c>
      <c r="E26" s="137"/>
      <c r="F26" s="35"/>
      <c r="G26" s="27"/>
      <c r="H26" s="27"/>
      <c r="I26" s="35"/>
      <c r="J26" s="35"/>
    </row>
    <row r="27" spans="2:15" x14ac:dyDescent="0.2">
      <c r="B27" s="67"/>
      <c r="C27" s="69" t="s">
        <v>218</v>
      </c>
      <c r="D27" s="68">
        <f>'Àrees i ocupació DBSI'!M21</f>
        <v>74.05</v>
      </c>
      <c r="E27" s="137"/>
      <c r="F27" s="35"/>
      <c r="G27" s="27"/>
      <c r="H27" s="27"/>
      <c r="I27" s="35"/>
      <c r="J27" s="35"/>
    </row>
    <row r="28" spans="2:15" x14ac:dyDescent="0.2">
      <c r="B28" s="31"/>
      <c r="C28" s="42" t="s">
        <v>219</v>
      </c>
      <c r="D28" s="70">
        <f>'Àrees i ocupació DBSI'!N21</f>
        <v>67.921999999999997</v>
      </c>
      <c r="E28" s="137"/>
      <c r="F28" s="35"/>
      <c r="G28" s="27"/>
      <c r="H28" s="27"/>
      <c r="I28" s="35"/>
      <c r="J28" s="35"/>
    </row>
    <row r="29" spans="2:15" x14ac:dyDescent="0.2">
      <c r="B29" s="71">
        <v>1</v>
      </c>
      <c r="C29" s="31" t="s">
        <v>295</v>
      </c>
      <c r="D29" s="70">
        <f>'Àrees i ocupació DBSI'!W10</f>
        <v>96</v>
      </c>
      <c r="E29" s="137"/>
      <c r="F29" s="36"/>
      <c r="G29" s="27"/>
      <c r="H29" s="27"/>
      <c r="I29" s="56"/>
      <c r="J29" s="56"/>
      <c r="K29" s="36"/>
      <c r="L29" s="36"/>
    </row>
    <row r="30" spans="2:15" x14ac:dyDescent="0.2">
      <c r="B30" s="71">
        <v>2</v>
      </c>
      <c r="C30" s="31" t="s">
        <v>220</v>
      </c>
      <c r="D30" s="70">
        <f>'Àrees i ocupació DBSI'!AE7</f>
        <v>96</v>
      </c>
      <c r="E30" s="137"/>
      <c r="F30" s="36"/>
      <c r="G30" s="27"/>
      <c r="H30" s="27"/>
      <c r="I30" s="36"/>
      <c r="J30" s="36"/>
      <c r="K30" s="36"/>
      <c r="L30" s="36"/>
    </row>
    <row r="31" spans="2:15" x14ac:dyDescent="0.2">
      <c r="B31" s="71">
        <v>3</v>
      </c>
      <c r="C31" s="31" t="s">
        <v>221</v>
      </c>
      <c r="D31" s="70">
        <f>'Àrees i ocupació DBSI'!AL6</f>
        <v>11.440000000000001</v>
      </c>
      <c r="E31" s="137"/>
      <c r="F31" s="36"/>
      <c r="G31" s="27"/>
      <c r="H31" s="27"/>
      <c r="I31" s="36"/>
      <c r="J31" s="36"/>
      <c r="K31" s="36"/>
      <c r="L31" s="36"/>
    </row>
    <row r="32" spans="2:15" x14ac:dyDescent="0.2">
      <c r="C32" s="72" t="s">
        <v>43</v>
      </c>
      <c r="D32" s="73">
        <f>D23+D29+D30+D31</f>
        <v>468.58149999999995</v>
      </c>
      <c r="E32" s="27"/>
      <c r="F32" s="74"/>
      <c r="I32" s="27"/>
      <c r="J32" s="27"/>
      <c r="K32" s="27"/>
      <c r="L32" s="27"/>
    </row>
    <row r="33" spans="2:14" x14ac:dyDescent="0.2">
      <c r="C33" s="27"/>
      <c r="D33" s="27"/>
      <c r="E33" s="75"/>
      <c r="F33" s="27"/>
      <c r="G33" s="76"/>
      <c r="H33" s="27"/>
      <c r="I33" s="77"/>
      <c r="J33" s="77"/>
      <c r="K33" s="27"/>
      <c r="L33" s="27"/>
      <c r="M33" s="27"/>
      <c r="N33" s="27"/>
    </row>
    <row r="34" spans="2:14" x14ac:dyDescent="0.2">
      <c r="C34" s="31" t="s">
        <v>222</v>
      </c>
      <c r="D34" s="32"/>
      <c r="E34" s="33"/>
      <c r="F34" s="32"/>
      <c r="G34" s="32"/>
      <c r="H34" s="32"/>
      <c r="I34" s="32"/>
      <c r="J34" s="32"/>
      <c r="K34" s="32"/>
      <c r="L34" s="32"/>
      <c r="M34" s="27"/>
      <c r="N34" s="27"/>
    </row>
    <row r="35" spans="2:14" ht="33.75" x14ac:dyDescent="0.2">
      <c r="C35" s="32"/>
      <c r="D35" s="78" t="s">
        <v>223</v>
      </c>
      <c r="E35" s="79" t="s">
        <v>224</v>
      </c>
      <c r="F35" s="79" t="s">
        <v>225</v>
      </c>
      <c r="G35" s="80" t="s">
        <v>226</v>
      </c>
      <c r="H35" s="80" t="s">
        <v>227</v>
      </c>
      <c r="I35" s="80" t="s">
        <v>228</v>
      </c>
      <c r="J35" s="81" t="s">
        <v>229</v>
      </c>
      <c r="K35" s="79" t="s">
        <v>230</v>
      </c>
      <c r="L35" s="82" t="s">
        <v>231</v>
      </c>
      <c r="M35" s="27"/>
    </row>
    <row r="36" spans="2:14" x14ac:dyDescent="0.2">
      <c r="C36" s="67" t="s">
        <v>232</v>
      </c>
      <c r="D36" s="27"/>
      <c r="E36" s="35"/>
      <c r="F36" s="27"/>
      <c r="G36" s="83"/>
      <c r="H36" s="83"/>
      <c r="I36" s="83"/>
      <c r="J36" s="19"/>
      <c r="K36" s="69"/>
      <c r="L36" s="84"/>
    </row>
    <row r="37" spans="2:14" x14ac:dyDescent="0.2">
      <c r="C37" s="26" t="s">
        <v>233</v>
      </c>
      <c r="D37" s="268" t="s">
        <v>234</v>
      </c>
      <c r="E37" s="35" t="s">
        <v>235</v>
      </c>
      <c r="F37" s="36" t="s">
        <v>236</v>
      </c>
      <c r="G37" s="85">
        <v>18.16</v>
      </c>
      <c r="H37" s="86">
        <v>1.1000000000000001</v>
      </c>
      <c r="I37" s="87" t="s">
        <v>185</v>
      </c>
      <c r="J37" s="88">
        <v>320</v>
      </c>
      <c r="K37" s="45">
        <f>ROUNDDOWN(3*(G37+G38+G39)+160*H37,0)</f>
        <v>357</v>
      </c>
      <c r="L37" s="270">
        <f>I41</f>
        <v>101.72</v>
      </c>
    </row>
    <row r="38" spans="2:14" x14ac:dyDescent="0.2">
      <c r="C38" s="26" t="s">
        <v>237</v>
      </c>
      <c r="D38" s="268"/>
      <c r="E38" s="35" t="s">
        <v>238</v>
      </c>
      <c r="F38" s="36" t="s">
        <v>236</v>
      </c>
      <c r="G38" s="85">
        <v>21.18</v>
      </c>
      <c r="H38" s="86">
        <f>H37</f>
        <v>1.1000000000000001</v>
      </c>
      <c r="I38" s="89">
        <f>D29/2</f>
        <v>48</v>
      </c>
      <c r="J38" s="88">
        <f>(J37+J39)/2</f>
        <v>284</v>
      </c>
      <c r="K38" s="55">
        <f>ROUNDDOWN(3*(G38+G39)+160*H38,0)</f>
        <v>303</v>
      </c>
      <c r="L38" s="270"/>
    </row>
    <row r="39" spans="2:14" x14ac:dyDescent="0.2">
      <c r="C39" s="26" t="s">
        <v>239</v>
      </c>
      <c r="D39" s="268"/>
      <c r="E39" s="35" t="s">
        <v>240</v>
      </c>
      <c r="F39" s="36" t="s">
        <v>236</v>
      </c>
      <c r="G39" s="85">
        <f>G38</f>
        <v>21.18</v>
      </c>
      <c r="H39" s="86">
        <f t="shared" ref="H39:H40" si="0">H38</f>
        <v>1.1000000000000001</v>
      </c>
      <c r="I39" s="89">
        <f>D30/2</f>
        <v>48</v>
      </c>
      <c r="J39" s="88">
        <v>248</v>
      </c>
      <c r="K39" s="55">
        <f>ROUNDDOWN(3*(G39)+160*H39,0)</f>
        <v>239</v>
      </c>
      <c r="L39" s="270"/>
    </row>
    <row r="40" spans="2:14" x14ac:dyDescent="0.2">
      <c r="C40" s="37" t="s">
        <v>241</v>
      </c>
      <c r="D40" s="269"/>
      <c r="E40" s="90" t="s">
        <v>242</v>
      </c>
      <c r="F40" s="38" t="s">
        <v>236</v>
      </c>
      <c r="G40" s="91">
        <f>G38</f>
        <v>21.18</v>
      </c>
      <c r="H40" s="92">
        <f t="shared" si="0"/>
        <v>1.1000000000000001</v>
      </c>
      <c r="I40" s="93">
        <f>D31/2</f>
        <v>5.7200000000000006</v>
      </c>
      <c r="J40" s="94">
        <v>248</v>
      </c>
      <c r="K40" s="61">
        <f>ROUNDDOWN(3*(G40)+160*H40,0)</f>
        <v>239</v>
      </c>
      <c r="L40" s="271"/>
    </row>
    <row r="41" spans="2:14" x14ac:dyDescent="0.2">
      <c r="C41" s="63"/>
      <c r="D41" s="58"/>
      <c r="E41" s="95"/>
      <c r="G41" s="96">
        <f>SUM(G37:G40)</f>
        <v>81.7</v>
      </c>
      <c r="H41" s="86"/>
      <c r="I41" s="97">
        <f>SUM(I37:I40)</f>
        <v>101.72</v>
      </c>
      <c r="J41" s="98"/>
      <c r="K41" s="99"/>
      <c r="L41" s="72"/>
    </row>
    <row r="42" spans="2:14" x14ac:dyDescent="0.2">
      <c r="C42" s="72" t="s">
        <v>243</v>
      </c>
      <c r="E42" s="95"/>
      <c r="G42" s="100"/>
      <c r="H42" s="83"/>
      <c r="I42" s="100"/>
      <c r="J42" s="2"/>
      <c r="K42" s="99"/>
      <c r="L42" s="72"/>
    </row>
    <row r="43" spans="2:14" x14ac:dyDescent="0.2">
      <c r="C43" s="26" t="s">
        <v>233</v>
      </c>
      <c r="D43" s="268" t="s">
        <v>234</v>
      </c>
      <c r="E43" s="35" t="s">
        <v>235</v>
      </c>
      <c r="F43" s="36" t="s">
        <v>236</v>
      </c>
      <c r="G43" s="85">
        <f>G37</f>
        <v>18.16</v>
      </c>
      <c r="H43" s="86">
        <f>H37</f>
        <v>1.1000000000000001</v>
      </c>
      <c r="I43" s="87" t="s">
        <v>185</v>
      </c>
      <c r="J43" s="88">
        <v>356</v>
      </c>
      <c r="K43" s="45">
        <f>ROUNDDOWN(3*(G43+G44+G45)+160*H43,0)</f>
        <v>357</v>
      </c>
      <c r="L43" s="270">
        <f>I47</f>
        <v>101.72</v>
      </c>
    </row>
    <row r="44" spans="2:14" x14ac:dyDescent="0.2">
      <c r="C44" s="26" t="s">
        <v>237</v>
      </c>
      <c r="D44" s="268"/>
      <c r="E44" s="35" t="s">
        <v>238</v>
      </c>
      <c r="F44" s="36" t="s">
        <v>236</v>
      </c>
      <c r="G44" s="85">
        <f t="shared" ref="G44:I46" si="1">G38</f>
        <v>21.18</v>
      </c>
      <c r="H44" s="86">
        <f t="shared" si="1"/>
        <v>1.1000000000000001</v>
      </c>
      <c r="I44" s="89">
        <f>I38</f>
        <v>48</v>
      </c>
      <c r="J44" s="88">
        <v>315</v>
      </c>
      <c r="K44" s="55">
        <f>ROUNDDOWN(3*(G44+G45)+160*H44,0)</f>
        <v>303</v>
      </c>
      <c r="L44" s="270"/>
    </row>
    <row r="45" spans="2:14" x14ac:dyDescent="0.2">
      <c r="C45" s="26" t="s">
        <v>239</v>
      </c>
      <c r="D45" s="268"/>
      <c r="E45" s="35" t="s">
        <v>240</v>
      </c>
      <c r="F45" s="36" t="s">
        <v>236</v>
      </c>
      <c r="G45" s="85">
        <f t="shared" si="1"/>
        <v>21.18</v>
      </c>
      <c r="H45" s="86">
        <f t="shared" si="1"/>
        <v>1.1000000000000001</v>
      </c>
      <c r="I45" s="89">
        <f t="shared" si="1"/>
        <v>48</v>
      </c>
      <c r="J45" s="88">
        <v>274</v>
      </c>
      <c r="K45" s="55">
        <f>ROUNDDOWN(3*(G45)+160*H45,0)</f>
        <v>239</v>
      </c>
      <c r="L45" s="270"/>
    </row>
    <row r="46" spans="2:14" x14ac:dyDescent="0.2">
      <c r="C46" s="37" t="s">
        <v>241</v>
      </c>
      <c r="D46" s="269"/>
      <c r="E46" s="90" t="s">
        <v>242</v>
      </c>
      <c r="F46" s="38" t="s">
        <v>236</v>
      </c>
      <c r="G46" s="91">
        <f t="shared" si="1"/>
        <v>21.18</v>
      </c>
      <c r="H46" s="92">
        <f t="shared" si="1"/>
        <v>1.1000000000000001</v>
      </c>
      <c r="I46" s="93">
        <f t="shared" si="1"/>
        <v>5.7200000000000006</v>
      </c>
      <c r="J46" s="94">
        <v>274</v>
      </c>
      <c r="K46" s="61">
        <f>ROUNDDOWN(3*(G46)+160*H46,0)</f>
        <v>239</v>
      </c>
      <c r="L46" s="271"/>
    </row>
    <row r="47" spans="2:14" x14ac:dyDescent="0.2">
      <c r="C47" s="63"/>
      <c r="D47" s="58"/>
      <c r="E47" s="95"/>
      <c r="G47" s="96">
        <f>SUM(G43:G46)</f>
        <v>81.7</v>
      </c>
      <c r="H47" s="98"/>
      <c r="I47" s="97">
        <f>SUM(I43:I46)</f>
        <v>101.72</v>
      </c>
      <c r="J47" s="98"/>
      <c r="K47" s="101"/>
      <c r="L47" s="101"/>
      <c r="M47" s="102"/>
      <c r="N47" s="27"/>
    </row>
    <row r="48" spans="2:14" x14ac:dyDescent="0.2">
      <c r="B48" s="26"/>
      <c r="C48" s="31" t="s">
        <v>244</v>
      </c>
      <c r="D48" s="32"/>
      <c r="E48" s="33"/>
      <c r="F48" s="32"/>
      <c r="G48" s="32"/>
      <c r="H48" s="32"/>
      <c r="I48" s="32"/>
      <c r="J48" s="32"/>
      <c r="K48" s="32"/>
      <c r="L48" s="32"/>
      <c r="M48" s="32"/>
    </row>
    <row r="49" spans="3:15" ht="33.75" x14ac:dyDescent="0.2">
      <c r="C49" s="32"/>
      <c r="D49" s="79" t="s">
        <v>245</v>
      </c>
      <c r="E49" s="79" t="s">
        <v>246</v>
      </c>
      <c r="F49" s="79" t="s">
        <v>247</v>
      </c>
      <c r="G49" s="79" t="s">
        <v>248</v>
      </c>
      <c r="H49" s="79" t="s">
        <v>249</v>
      </c>
      <c r="I49" s="103" t="s">
        <v>250</v>
      </c>
      <c r="J49" s="79" t="s">
        <v>251</v>
      </c>
      <c r="K49" s="79" t="s">
        <v>252</v>
      </c>
      <c r="L49" s="79" t="s">
        <v>253</v>
      </c>
      <c r="M49" s="79" t="s">
        <v>254</v>
      </c>
    </row>
    <row r="50" spans="3:15" x14ac:dyDescent="0.2">
      <c r="C50" s="72" t="s">
        <v>29</v>
      </c>
      <c r="D50" s="104"/>
      <c r="F50" s="58"/>
      <c r="G50" s="56"/>
      <c r="H50" s="56"/>
      <c r="I50" s="105"/>
      <c r="L50" s="59"/>
      <c r="M50" s="59"/>
      <c r="O50" s="29" t="s">
        <v>255</v>
      </c>
    </row>
    <row r="51" spans="3:15" x14ac:dyDescent="0.2">
      <c r="C51" s="29" t="s">
        <v>215</v>
      </c>
      <c r="D51" s="57" t="s">
        <v>256</v>
      </c>
      <c r="E51" s="106">
        <f>D24</f>
        <v>53.093249999999998</v>
      </c>
      <c r="F51" s="98">
        <v>1</v>
      </c>
      <c r="G51" s="107">
        <f>E51+E52</f>
        <v>101.83449999999999</v>
      </c>
      <c r="H51" s="108">
        <f t="shared" ref="H51:H58" si="2">G51/200</f>
        <v>0.50917249999999992</v>
      </c>
      <c r="I51" s="109">
        <v>1.2</v>
      </c>
      <c r="J51" s="56" t="s">
        <v>185</v>
      </c>
      <c r="K51" s="56" t="s">
        <v>257</v>
      </c>
      <c r="L51" s="59" t="s">
        <v>257</v>
      </c>
      <c r="M51" s="59" t="s">
        <v>185</v>
      </c>
      <c r="O51" s="29" t="s">
        <v>258</v>
      </c>
    </row>
    <row r="52" spans="3:15" x14ac:dyDescent="0.2">
      <c r="C52" s="29" t="s">
        <v>216</v>
      </c>
      <c r="D52" s="110" t="s">
        <v>259</v>
      </c>
      <c r="E52" s="106">
        <f>D25</f>
        <v>48.741249999999994</v>
      </c>
      <c r="F52" s="98">
        <v>1</v>
      </c>
      <c r="G52" s="107">
        <f>E52+E51</f>
        <v>101.83449999999999</v>
      </c>
      <c r="H52" s="108">
        <f t="shared" si="2"/>
        <v>0.50917249999999992</v>
      </c>
      <c r="I52" s="109">
        <v>1.2</v>
      </c>
      <c r="J52" s="56" t="s">
        <v>185</v>
      </c>
      <c r="K52" s="56" t="s">
        <v>257</v>
      </c>
      <c r="L52" s="59" t="s">
        <v>257</v>
      </c>
      <c r="M52" s="59" t="s">
        <v>185</v>
      </c>
      <c r="O52" s="29" t="s">
        <v>260</v>
      </c>
    </row>
    <row r="53" spans="3:15" x14ac:dyDescent="0.2">
      <c r="C53" s="99" t="s">
        <v>217</v>
      </c>
      <c r="D53" s="111" t="s">
        <v>261</v>
      </c>
      <c r="E53" s="106">
        <f>D26</f>
        <v>21.335000000000001</v>
      </c>
      <c r="F53" s="98">
        <v>1</v>
      </c>
      <c r="G53" s="107">
        <f t="shared" ref="G53" si="3">E53*F53</f>
        <v>21.335000000000001</v>
      </c>
      <c r="H53" s="108">
        <f t="shared" si="2"/>
        <v>0.10667500000000001</v>
      </c>
      <c r="I53" s="109">
        <v>0.9</v>
      </c>
      <c r="J53" s="56" t="s">
        <v>185</v>
      </c>
      <c r="K53" s="56" t="s">
        <v>185</v>
      </c>
      <c r="L53" s="56" t="s">
        <v>185</v>
      </c>
      <c r="M53" s="56" t="s">
        <v>185</v>
      </c>
      <c r="O53" s="29" t="s">
        <v>262</v>
      </c>
    </row>
    <row r="54" spans="3:15" x14ac:dyDescent="0.2">
      <c r="C54" s="99" t="s">
        <v>218</v>
      </c>
      <c r="D54" s="111" t="s">
        <v>263</v>
      </c>
      <c r="E54" s="106">
        <f>D27</f>
        <v>74.05</v>
      </c>
      <c r="F54" s="98">
        <v>1</v>
      </c>
      <c r="G54" s="107">
        <f>E54/F54</f>
        <v>74.05</v>
      </c>
      <c r="H54" s="108">
        <f t="shared" si="2"/>
        <v>0.37024999999999997</v>
      </c>
      <c r="I54" s="109">
        <v>1.8</v>
      </c>
      <c r="J54" s="56" t="s">
        <v>185</v>
      </c>
      <c r="K54" s="56" t="s">
        <v>257</v>
      </c>
      <c r="L54" s="56" t="s">
        <v>257</v>
      </c>
      <c r="M54" s="56" t="s">
        <v>185</v>
      </c>
    </row>
    <row r="55" spans="3:15" x14ac:dyDescent="0.2">
      <c r="C55" s="69" t="s">
        <v>219</v>
      </c>
      <c r="D55" s="112" t="s">
        <v>264</v>
      </c>
      <c r="E55" s="106">
        <f>D28</f>
        <v>67.921999999999997</v>
      </c>
      <c r="F55" s="98">
        <v>1</v>
      </c>
      <c r="G55" s="107">
        <f t="shared" ref="G55:G57" si="4">E55*F55</f>
        <v>67.921999999999997</v>
      </c>
      <c r="H55" s="85">
        <f>G55/200</f>
        <v>0.33960999999999997</v>
      </c>
      <c r="I55" s="109">
        <v>1.8</v>
      </c>
      <c r="J55" s="56" t="s">
        <v>185</v>
      </c>
      <c r="K55" s="36" t="s">
        <v>257</v>
      </c>
      <c r="L55" s="36" t="s">
        <v>257</v>
      </c>
      <c r="M55" s="36" t="s">
        <v>185</v>
      </c>
    </row>
    <row r="56" spans="3:15" ht="12.75" x14ac:dyDescent="0.2">
      <c r="C56" s="99" t="s">
        <v>265</v>
      </c>
      <c r="D56" s="111" t="s">
        <v>263</v>
      </c>
      <c r="E56" s="106">
        <f>L37</f>
        <v>101.72</v>
      </c>
      <c r="F56" s="98">
        <v>1</v>
      </c>
      <c r="G56" s="107">
        <f t="shared" si="4"/>
        <v>101.72</v>
      </c>
      <c r="H56" s="108">
        <f t="shared" si="2"/>
        <v>0.50859999999999994</v>
      </c>
      <c r="I56" s="109">
        <v>0.8</v>
      </c>
      <c r="J56" s="51" t="s">
        <v>210</v>
      </c>
      <c r="K56" s="56" t="s">
        <v>257</v>
      </c>
      <c r="L56" s="56" t="s">
        <v>257</v>
      </c>
      <c r="M56" s="56" t="s">
        <v>257</v>
      </c>
    </row>
    <row r="57" spans="3:15" x14ac:dyDescent="0.2">
      <c r="C57" s="100" t="s">
        <v>266</v>
      </c>
      <c r="D57" s="113" t="s">
        <v>267</v>
      </c>
      <c r="E57" s="106">
        <f>L37+D24+D25</f>
        <v>203.55449999999996</v>
      </c>
      <c r="F57" s="98">
        <v>1</v>
      </c>
      <c r="G57" s="107">
        <f t="shared" si="4"/>
        <v>203.55449999999996</v>
      </c>
      <c r="H57" s="108">
        <f t="shared" si="2"/>
        <v>1.0177724999999997</v>
      </c>
      <c r="I57" s="109">
        <v>1.1000000000000001</v>
      </c>
      <c r="J57" s="56" t="s">
        <v>185</v>
      </c>
      <c r="K57" s="56" t="s">
        <v>257</v>
      </c>
      <c r="L57" s="56" t="s">
        <v>257</v>
      </c>
      <c r="M57" s="56" t="s">
        <v>185</v>
      </c>
    </row>
    <row r="58" spans="3:15" ht="22.5" x14ac:dyDescent="0.2">
      <c r="C58" s="83"/>
      <c r="D58" s="114" t="s">
        <v>268</v>
      </c>
      <c r="E58" s="106">
        <f>L43+D26+E54</f>
        <v>197.10500000000002</v>
      </c>
      <c r="F58" s="98">
        <v>1</v>
      </c>
      <c r="G58" s="115">
        <f>E58</f>
        <v>197.10500000000002</v>
      </c>
      <c r="H58" s="85">
        <f t="shared" si="2"/>
        <v>0.9855250000000001</v>
      </c>
      <c r="I58" s="116">
        <v>1.9</v>
      </c>
      <c r="J58" s="56" t="s">
        <v>185</v>
      </c>
      <c r="K58" s="36" t="s">
        <v>257</v>
      </c>
      <c r="L58" s="36" t="s">
        <v>257</v>
      </c>
      <c r="M58" s="36" t="s">
        <v>185</v>
      </c>
    </row>
    <row r="59" spans="3:15" ht="12.75" x14ac:dyDescent="0.2">
      <c r="C59" s="117" t="s">
        <v>269</v>
      </c>
      <c r="D59" s="118" t="s">
        <v>264</v>
      </c>
      <c r="E59" s="119" t="s">
        <v>185</v>
      </c>
      <c r="F59" s="92">
        <v>1</v>
      </c>
      <c r="G59" s="120" t="s">
        <v>185</v>
      </c>
      <c r="H59" s="92" t="s">
        <v>185</v>
      </c>
      <c r="I59" s="121">
        <v>1</v>
      </c>
      <c r="J59" s="54" t="s">
        <v>193</v>
      </c>
      <c r="K59" s="38" t="s">
        <v>185</v>
      </c>
      <c r="L59" s="38" t="s">
        <v>185</v>
      </c>
      <c r="M59" s="38" t="s">
        <v>257</v>
      </c>
    </row>
    <row r="60" spans="3:15" x14ac:dyDescent="0.2">
      <c r="C60" s="67" t="s">
        <v>270</v>
      </c>
      <c r="D60" s="112"/>
      <c r="E60" s="122"/>
      <c r="F60" s="2"/>
      <c r="G60" s="123"/>
      <c r="H60" s="86"/>
      <c r="I60" s="124"/>
      <c r="J60" s="27"/>
      <c r="K60" s="36"/>
      <c r="L60" s="36"/>
      <c r="M60" s="36"/>
    </row>
    <row r="61" spans="3:15" ht="12.75" x14ac:dyDescent="0.2">
      <c r="C61" s="69" t="s">
        <v>271</v>
      </c>
      <c r="D61" s="125" t="s">
        <v>272</v>
      </c>
      <c r="E61" s="126">
        <v>4</v>
      </c>
      <c r="F61" s="127">
        <v>1</v>
      </c>
      <c r="G61" s="123" t="s">
        <v>185</v>
      </c>
      <c r="H61" s="128" t="s">
        <v>185</v>
      </c>
      <c r="I61" s="116">
        <v>0.8</v>
      </c>
      <c r="J61" s="52" t="s">
        <v>273</v>
      </c>
      <c r="K61" s="36" t="s">
        <v>185</v>
      </c>
      <c r="L61" s="36" t="s">
        <v>185</v>
      </c>
      <c r="M61" s="36" t="s">
        <v>185</v>
      </c>
    </row>
    <row r="62" spans="3:15" ht="12.75" x14ac:dyDescent="0.2">
      <c r="C62" s="69" t="s">
        <v>271</v>
      </c>
      <c r="D62" s="125" t="s">
        <v>272</v>
      </c>
      <c r="E62" s="126">
        <v>8</v>
      </c>
      <c r="F62" s="127">
        <v>1</v>
      </c>
      <c r="G62" s="123" t="s">
        <v>185</v>
      </c>
      <c r="H62" s="128" t="s">
        <v>185</v>
      </c>
      <c r="I62" s="116">
        <v>1.6</v>
      </c>
      <c r="J62" s="52" t="s">
        <v>273</v>
      </c>
      <c r="K62" s="36" t="s">
        <v>185</v>
      </c>
      <c r="L62" s="36" t="s">
        <v>185</v>
      </c>
      <c r="M62" s="36" t="s">
        <v>185</v>
      </c>
    </row>
    <row r="63" spans="3:15" ht="22.5" x14ac:dyDescent="0.2">
      <c r="C63" s="69" t="s">
        <v>274</v>
      </c>
      <c r="D63" s="112" t="s">
        <v>275</v>
      </c>
      <c r="E63" s="126">
        <v>8</v>
      </c>
      <c r="F63" s="127">
        <v>1</v>
      </c>
      <c r="G63" s="123" t="s">
        <v>185</v>
      </c>
      <c r="H63" s="128" t="s">
        <v>185</v>
      </c>
      <c r="I63" s="116">
        <v>1.6</v>
      </c>
      <c r="J63" s="52" t="s">
        <v>185</v>
      </c>
      <c r="K63" s="36" t="s">
        <v>185</v>
      </c>
      <c r="L63" s="36" t="s">
        <v>185</v>
      </c>
      <c r="M63" s="36" t="s">
        <v>185</v>
      </c>
    </row>
    <row r="64" spans="3:15" ht="12.75" x14ac:dyDescent="0.2">
      <c r="C64" s="42" t="s">
        <v>276</v>
      </c>
      <c r="D64" s="129" t="s">
        <v>277</v>
      </c>
      <c r="E64" s="119">
        <f>L43/2</f>
        <v>50.86</v>
      </c>
      <c r="F64" s="120">
        <v>1</v>
      </c>
      <c r="G64" s="130">
        <f>E64</f>
        <v>50.86</v>
      </c>
      <c r="H64" s="91">
        <f>G64/200</f>
        <v>0.25429999999999997</v>
      </c>
      <c r="I64" s="121">
        <v>0.8</v>
      </c>
      <c r="J64" s="54" t="s">
        <v>210</v>
      </c>
      <c r="K64" s="38" t="s">
        <v>257</v>
      </c>
      <c r="L64" s="38" t="s">
        <v>185</v>
      </c>
      <c r="M64" s="38" t="s">
        <v>257</v>
      </c>
    </row>
    <row r="65" spans="2:13" x14ac:dyDescent="0.2">
      <c r="C65" s="67" t="s">
        <v>47</v>
      </c>
      <c r="D65" s="125"/>
      <c r="E65" s="122"/>
      <c r="F65" s="2"/>
      <c r="G65" s="123"/>
      <c r="H65" s="131"/>
      <c r="I65" s="116"/>
      <c r="J65" s="52"/>
      <c r="K65" s="36"/>
      <c r="L65" s="36"/>
      <c r="M65" s="36"/>
    </row>
    <row r="66" spans="2:13" x14ac:dyDescent="0.2">
      <c r="C66" s="69" t="s">
        <v>276</v>
      </c>
      <c r="D66" s="125" t="s">
        <v>164</v>
      </c>
      <c r="E66" s="132">
        <f>D31</f>
        <v>11.440000000000001</v>
      </c>
      <c r="F66" s="127">
        <v>2</v>
      </c>
      <c r="G66" s="115">
        <v>12</v>
      </c>
      <c r="H66" s="128">
        <f>E66/200</f>
        <v>5.7200000000000008E-2</v>
      </c>
      <c r="I66" s="116">
        <v>0.8</v>
      </c>
      <c r="J66" s="36" t="s">
        <v>185</v>
      </c>
      <c r="K66" s="36" t="s">
        <v>185</v>
      </c>
      <c r="L66" s="36" t="s">
        <v>185</v>
      </c>
      <c r="M66" s="36" t="s">
        <v>185</v>
      </c>
    </row>
    <row r="67" spans="2:13" ht="12.75" x14ac:dyDescent="0.2">
      <c r="C67" s="42" t="s">
        <v>278</v>
      </c>
      <c r="D67" s="129" t="s">
        <v>279</v>
      </c>
      <c r="E67" s="119" t="s">
        <v>185</v>
      </c>
      <c r="F67" s="4" t="s">
        <v>185</v>
      </c>
      <c r="G67" s="120" t="s">
        <v>185</v>
      </c>
      <c r="H67" s="133" t="s">
        <v>185</v>
      </c>
      <c r="I67" s="121" t="s">
        <v>185</v>
      </c>
      <c r="J67" s="54" t="s">
        <v>210</v>
      </c>
      <c r="K67" s="38" t="s">
        <v>185</v>
      </c>
      <c r="L67" s="38" t="s">
        <v>185</v>
      </c>
      <c r="M67" s="38" t="s">
        <v>185</v>
      </c>
    </row>
    <row r="68" spans="2:13" x14ac:dyDescent="0.2">
      <c r="C68" s="69" t="s">
        <v>280</v>
      </c>
      <c r="D68" s="112"/>
      <c r="E68" s="126"/>
      <c r="F68" s="2"/>
      <c r="G68" s="128"/>
      <c r="H68" s="134"/>
      <c r="I68" s="132"/>
      <c r="J68" s="56"/>
      <c r="K68" s="56"/>
    </row>
    <row r="69" spans="2:13" x14ac:dyDescent="0.2">
      <c r="C69" s="69"/>
      <c r="D69" s="112"/>
      <c r="E69" s="66"/>
      <c r="G69" s="135"/>
      <c r="H69" s="136"/>
      <c r="I69" s="52"/>
      <c r="J69" s="56"/>
      <c r="K69" s="56"/>
    </row>
    <row r="70" spans="2:13" x14ac:dyDescent="0.2">
      <c r="K70" s="56"/>
    </row>
    <row r="72" spans="2:13" x14ac:dyDescent="0.2">
      <c r="B72" s="26"/>
      <c r="C72" s="27"/>
      <c r="D72" s="27"/>
      <c r="E72" s="28"/>
      <c r="F72" s="27"/>
      <c r="G72" s="27"/>
      <c r="H72" s="27"/>
      <c r="I72" s="27"/>
      <c r="J72" s="27"/>
    </row>
    <row r="73" spans="2:13" x14ac:dyDescent="0.2">
      <c r="B73" s="26"/>
      <c r="C73" s="67"/>
      <c r="D73" s="27"/>
      <c r="E73" s="28"/>
      <c r="F73" s="27"/>
      <c r="G73" s="27"/>
      <c r="H73" s="27"/>
      <c r="I73" s="27"/>
      <c r="J73" s="27"/>
    </row>
    <row r="74" spans="2:13" x14ac:dyDescent="0.2">
      <c r="B74" s="26"/>
      <c r="C74" s="27"/>
      <c r="D74" s="27"/>
      <c r="E74" s="28"/>
      <c r="F74" s="27"/>
      <c r="G74" s="27"/>
      <c r="H74" s="27"/>
      <c r="I74" s="27"/>
      <c r="J74" s="27"/>
    </row>
    <row r="75" spans="2:13" x14ac:dyDescent="0.2">
      <c r="B75" s="26"/>
      <c r="C75" s="27"/>
      <c r="D75" s="27"/>
      <c r="E75" s="28"/>
      <c r="F75" s="27"/>
      <c r="G75" s="27"/>
      <c r="H75" s="27"/>
      <c r="I75" s="27"/>
      <c r="J75" s="27"/>
    </row>
    <row r="76" spans="2:13" x14ac:dyDescent="0.2">
      <c r="B76" s="26"/>
      <c r="C76" s="27"/>
      <c r="D76" s="27"/>
      <c r="E76" s="28"/>
      <c r="F76" s="27"/>
      <c r="G76" s="27"/>
      <c r="H76" s="27"/>
      <c r="I76" s="27"/>
      <c r="J76" s="27"/>
    </row>
  </sheetData>
  <mergeCells count="16">
    <mergeCell ref="H3:I3"/>
    <mergeCell ref="K3:L3"/>
    <mergeCell ref="M3:N3"/>
    <mergeCell ref="H5:H6"/>
    <mergeCell ref="I5:I6"/>
    <mergeCell ref="J5:J6"/>
    <mergeCell ref="K5:K6"/>
    <mergeCell ref="L5:L6"/>
    <mergeCell ref="M5:M6"/>
    <mergeCell ref="N5:N6"/>
    <mergeCell ref="B12:C12"/>
    <mergeCell ref="B19:C19"/>
    <mergeCell ref="D37:D40"/>
    <mergeCell ref="L37:L40"/>
    <mergeCell ref="D43:D46"/>
    <mergeCell ref="L43:L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Construides</vt:lpstr>
      <vt:lpstr>Quadre útil resum</vt:lpstr>
      <vt:lpstr>Quadre d’àrees de projecte  </vt:lpstr>
      <vt:lpstr>Àrees i ocupació DBSI</vt:lpstr>
      <vt:lpstr>CTE DBSI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fcb</dc:creator>
  <cp:lastModifiedBy>ADMINCAU</cp:lastModifiedBy>
  <dcterms:created xsi:type="dcterms:W3CDTF">2021-07-05T17:17:00Z</dcterms:created>
  <dcterms:modified xsi:type="dcterms:W3CDTF">2022-07-15T09:23:29Z</dcterms:modified>
</cp:coreProperties>
</file>